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Z:\Suicide\Suicide Facts 2016\Prov suicide data tables 2016\Final docs\"/>
    </mc:Choice>
  </mc:AlternateContent>
  <bookViews>
    <workbookView xWindow="0" yWindow="0" windowWidth="20295" windowHeight="9195"/>
  </bookViews>
  <sheets>
    <sheet name="Intro" sheetId="18" r:id="rId1"/>
    <sheet name="Contents" sheetId="15" r:id="rId2"/>
    <sheet name="Quick facts" sheetId="16" r:id="rId3"/>
    <sheet name="Age Sex" sheetId="1" r:id="rId4"/>
    <sheet name="Māori Non-Māori" sheetId="2" r:id="rId5"/>
    <sheet name="About" sheetId="23" r:id="rId6"/>
    <sheet name="Codes" sheetId="22" r:id="rId7"/>
    <sheet name="Data" sheetId="7" state="hidden" r:id="rId8"/>
    <sheet name="ref" sheetId="4" state="hidden" r:id="rId9"/>
  </sheets>
  <definedNames>
    <definedName name="_xlnm._FilterDatabase" localSheetId="7" hidden="1">Data!$A$3:$J$1083</definedName>
    <definedName name="_Toc126059762" localSheetId="5">About!$E$41</definedName>
    <definedName name="_Toc462301296" localSheetId="6">Codes!$C$5</definedName>
    <definedName name="agesextable">Data!$A:$H</definedName>
    <definedName name="deptable">Data!#REF!</definedName>
    <definedName name="DHB5yr">Data!#REF!</definedName>
    <definedName name="Methodstable">Data!#REF!</definedName>
    <definedName name="MPAO5yr">Data!#REF!</definedName>
    <definedName name="MPAOdep5yr">Data!#REF!</definedName>
    <definedName name="mpaopercmethods">Data!#REF!</definedName>
    <definedName name="Percalldeaths">Data!#REF!</definedName>
    <definedName name="_xlnm.Print_Area" localSheetId="5">About!$A$1:$O$62</definedName>
    <definedName name="_xlnm.Print_Area" localSheetId="3">'Age Sex'!$A$1:$AB$79</definedName>
    <definedName name="_xlnm.Print_Area" localSheetId="6">Codes!$A$1:$I$37</definedName>
    <definedName name="_xlnm.Print_Area" localSheetId="1">Contents!$A$1:$F$25</definedName>
    <definedName name="_xlnm.Print_Area" localSheetId="0">Intro!$A$1:$P$35</definedName>
    <definedName name="_xlnm.Print_Area" localSheetId="4">'Māori Non-Māori'!$A$1:$AC$121</definedName>
    <definedName name="_xlnm.Print_Area" localSheetId="2">'Quick facts'!$A$1:$AJ$41</definedName>
    <definedName name="UnkDep">Data!#REF!</definedName>
    <definedName name="URtable">Data!#REF!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9" i="1" l="1"/>
  <c r="BE10" i="1"/>
  <c r="BE11" i="1"/>
  <c r="BE12" i="1"/>
  <c r="BU17" i="2"/>
  <c r="BU18" i="2"/>
  <c r="BU9" i="2"/>
  <c r="BU10" i="2"/>
  <c r="A24" i="7" l="1"/>
  <c r="A44" i="7"/>
  <c r="A64" i="7"/>
  <c r="A84" i="7"/>
  <c r="A104" i="7"/>
  <c r="A144" i="7"/>
  <c r="A164" i="7"/>
  <c r="A184" i="7"/>
  <c r="A204" i="7"/>
  <c r="A224" i="7"/>
  <c r="A264" i="7"/>
  <c r="A284" i="7"/>
  <c r="A304" i="7"/>
  <c r="A324" i="7"/>
  <c r="A344" i="7"/>
  <c r="A384" i="7"/>
  <c r="A404" i="7"/>
  <c r="A424" i="7"/>
  <c r="A444" i="7"/>
  <c r="A464" i="7"/>
  <c r="A504" i="7"/>
  <c r="A524" i="7"/>
  <c r="A544" i="7"/>
  <c r="A564" i="7"/>
  <c r="A584" i="7"/>
  <c r="A624" i="7"/>
  <c r="A644" i="7"/>
  <c r="A664" i="7"/>
  <c r="A684" i="7"/>
  <c r="A704" i="7"/>
  <c r="A744" i="7"/>
  <c r="A764" i="7"/>
  <c r="A784" i="7"/>
  <c r="A804" i="7"/>
  <c r="A824" i="7"/>
  <c r="A864" i="7"/>
  <c r="A884" i="7"/>
  <c r="A904" i="7"/>
  <c r="A924" i="7"/>
  <c r="A944" i="7"/>
  <c r="A984" i="7"/>
  <c r="A1004" i="7"/>
  <c r="A1024" i="7"/>
  <c r="A1044" i="7"/>
  <c r="A1064" i="7"/>
  <c r="A25" i="7"/>
  <c r="A45" i="7"/>
  <c r="A65" i="7"/>
  <c r="A85" i="7"/>
  <c r="A105" i="7"/>
  <c r="A145" i="7"/>
  <c r="A165" i="7"/>
  <c r="A185" i="7"/>
  <c r="A205" i="7"/>
  <c r="A225" i="7"/>
  <c r="A265" i="7"/>
  <c r="A285" i="7"/>
  <c r="A305" i="7"/>
  <c r="A325" i="7"/>
  <c r="A345" i="7"/>
  <c r="A385" i="7"/>
  <c r="A405" i="7"/>
  <c r="A425" i="7"/>
  <c r="A445" i="7"/>
  <c r="A465" i="7"/>
  <c r="A505" i="7"/>
  <c r="A525" i="7"/>
  <c r="A545" i="7"/>
  <c r="A565" i="7"/>
  <c r="A585" i="7"/>
  <c r="A625" i="7"/>
  <c r="A645" i="7"/>
  <c r="A665" i="7"/>
  <c r="A685" i="7"/>
  <c r="A705" i="7"/>
  <c r="A745" i="7"/>
  <c r="A765" i="7"/>
  <c r="A785" i="7"/>
  <c r="A805" i="7"/>
  <c r="A825" i="7"/>
  <c r="A865" i="7"/>
  <c r="A885" i="7"/>
  <c r="A905" i="7"/>
  <c r="A925" i="7"/>
  <c r="A945" i="7"/>
  <c r="A985" i="7"/>
  <c r="A1005" i="7"/>
  <c r="A1025" i="7"/>
  <c r="A1045" i="7"/>
  <c r="A1065" i="7"/>
  <c r="A26" i="7"/>
  <c r="A46" i="7"/>
  <c r="A66" i="7"/>
  <c r="A86" i="7"/>
  <c r="A106" i="7"/>
  <c r="A146" i="7"/>
  <c r="A166" i="7"/>
  <c r="A186" i="7"/>
  <c r="A206" i="7"/>
  <c r="A226" i="7"/>
  <c r="A266" i="7"/>
  <c r="A286" i="7"/>
  <c r="A306" i="7"/>
  <c r="A326" i="7"/>
  <c r="A346" i="7"/>
  <c r="A386" i="7"/>
  <c r="A406" i="7"/>
  <c r="A426" i="7"/>
  <c r="A446" i="7"/>
  <c r="A466" i="7"/>
  <c r="A506" i="7"/>
  <c r="A526" i="7"/>
  <c r="A546" i="7"/>
  <c r="A566" i="7"/>
  <c r="A586" i="7"/>
  <c r="A626" i="7"/>
  <c r="A646" i="7"/>
  <c r="A666" i="7"/>
  <c r="A686" i="7"/>
  <c r="A706" i="7"/>
  <c r="A746" i="7"/>
  <c r="A766" i="7"/>
  <c r="A786" i="7"/>
  <c r="A806" i="7"/>
  <c r="A826" i="7"/>
  <c r="A866" i="7"/>
  <c r="A886" i="7"/>
  <c r="A906" i="7"/>
  <c r="A926" i="7"/>
  <c r="A946" i="7"/>
  <c r="A986" i="7"/>
  <c r="A1006" i="7"/>
  <c r="A1026" i="7"/>
  <c r="A1046" i="7"/>
  <c r="A1066" i="7"/>
  <c r="A27" i="7"/>
  <c r="A47" i="7"/>
  <c r="A67" i="7"/>
  <c r="A87" i="7"/>
  <c r="A107" i="7"/>
  <c r="A147" i="7"/>
  <c r="A167" i="7"/>
  <c r="A187" i="7"/>
  <c r="A207" i="7"/>
  <c r="A227" i="7"/>
  <c r="A267" i="7"/>
  <c r="A287" i="7"/>
  <c r="A307" i="7"/>
  <c r="A327" i="7"/>
  <c r="A347" i="7"/>
  <c r="A387" i="7"/>
  <c r="A407" i="7"/>
  <c r="A427" i="7"/>
  <c r="A447" i="7"/>
  <c r="A467" i="7"/>
  <c r="A507" i="7"/>
  <c r="A527" i="7"/>
  <c r="A547" i="7"/>
  <c r="A567" i="7"/>
  <c r="A587" i="7"/>
  <c r="A627" i="7"/>
  <c r="A647" i="7"/>
  <c r="A667" i="7"/>
  <c r="A687" i="7"/>
  <c r="A707" i="7"/>
  <c r="A747" i="7"/>
  <c r="A767" i="7"/>
  <c r="A787" i="7"/>
  <c r="A807" i="7"/>
  <c r="A827" i="7"/>
  <c r="A867" i="7"/>
  <c r="A887" i="7"/>
  <c r="A907" i="7"/>
  <c r="A927" i="7"/>
  <c r="A947" i="7"/>
  <c r="A987" i="7"/>
  <c r="A1007" i="7"/>
  <c r="A1027" i="7"/>
  <c r="A1047" i="7"/>
  <c r="A1067" i="7"/>
  <c r="A28" i="7"/>
  <c r="A48" i="7"/>
  <c r="A68" i="7"/>
  <c r="A88" i="7"/>
  <c r="A108" i="7"/>
  <c r="A148" i="7"/>
  <c r="A168" i="7"/>
  <c r="A188" i="7"/>
  <c r="A208" i="7"/>
  <c r="A228" i="7"/>
  <c r="A268" i="7"/>
  <c r="A288" i="7"/>
  <c r="A308" i="7"/>
  <c r="A328" i="7"/>
  <c r="A348" i="7"/>
  <c r="A388" i="7"/>
  <c r="A408" i="7"/>
  <c r="A428" i="7"/>
  <c r="A448" i="7"/>
  <c r="A468" i="7"/>
  <c r="A508" i="7"/>
  <c r="A528" i="7"/>
  <c r="A548" i="7"/>
  <c r="A568" i="7"/>
  <c r="A588" i="7"/>
  <c r="A628" i="7"/>
  <c r="A648" i="7"/>
  <c r="A668" i="7"/>
  <c r="A688" i="7"/>
  <c r="A708" i="7"/>
  <c r="A748" i="7"/>
  <c r="A768" i="7"/>
  <c r="A788" i="7"/>
  <c r="A808" i="7"/>
  <c r="A828" i="7"/>
  <c r="A868" i="7"/>
  <c r="A888" i="7"/>
  <c r="A908" i="7"/>
  <c r="A928" i="7"/>
  <c r="A948" i="7"/>
  <c r="A988" i="7"/>
  <c r="A1008" i="7"/>
  <c r="A1028" i="7"/>
  <c r="A1048" i="7"/>
  <c r="A1068" i="7"/>
  <c r="A29" i="7"/>
  <c r="A49" i="7"/>
  <c r="A69" i="7"/>
  <c r="A89" i="7"/>
  <c r="A109" i="7"/>
  <c r="A149" i="7"/>
  <c r="A169" i="7"/>
  <c r="A189" i="7"/>
  <c r="A209" i="7"/>
  <c r="A229" i="7"/>
  <c r="A269" i="7"/>
  <c r="A289" i="7"/>
  <c r="A309" i="7"/>
  <c r="A329" i="7"/>
  <c r="A349" i="7"/>
  <c r="A389" i="7"/>
  <c r="A409" i="7"/>
  <c r="A429" i="7"/>
  <c r="A449" i="7"/>
  <c r="A469" i="7"/>
  <c r="A509" i="7"/>
  <c r="A529" i="7"/>
  <c r="A549" i="7"/>
  <c r="A569" i="7"/>
  <c r="A589" i="7"/>
  <c r="A629" i="7"/>
  <c r="A649" i="7"/>
  <c r="A669" i="7"/>
  <c r="A689" i="7"/>
  <c r="A709" i="7"/>
  <c r="A749" i="7"/>
  <c r="A769" i="7"/>
  <c r="A789" i="7"/>
  <c r="A809" i="7"/>
  <c r="A829" i="7"/>
  <c r="A869" i="7"/>
  <c r="A889" i="7"/>
  <c r="A909" i="7"/>
  <c r="A929" i="7"/>
  <c r="A949" i="7"/>
  <c r="A989" i="7"/>
  <c r="A1009" i="7"/>
  <c r="A1029" i="7"/>
  <c r="A1049" i="7"/>
  <c r="A1069" i="7"/>
  <c r="A30" i="7"/>
  <c r="A50" i="7"/>
  <c r="A70" i="7"/>
  <c r="A90" i="7"/>
  <c r="A110" i="7"/>
  <c r="A150" i="7"/>
  <c r="A170" i="7"/>
  <c r="A190" i="7"/>
  <c r="A210" i="7"/>
  <c r="A230" i="7"/>
  <c r="A270" i="7"/>
  <c r="A290" i="7"/>
  <c r="A310" i="7"/>
  <c r="A330" i="7"/>
  <c r="A350" i="7"/>
  <c r="A390" i="7"/>
  <c r="A410" i="7"/>
  <c r="A430" i="7"/>
  <c r="A450" i="7"/>
  <c r="A470" i="7"/>
  <c r="A510" i="7"/>
  <c r="A530" i="7"/>
  <c r="A550" i="7"/>
  <c r="A570" i="7"/>
  <c r="A590" i="7"/>
  <c r="A630" i="7"/>
  <c r="A650" i="7"/>
  <c r="A670" i="7"/>
  <c r="A690" i="7"/>
  <c r="A710" i="7"/>
  <c r="A750" i="7"/>
  <c r="A770" i="7"/>
  <c r="A790" i="7"/>
  <c r="A810" i="7"/>
  <c r="A830" i="7"/>
  <c r="A870" i="7"/>
  <c r="A890" i="7"/>
  <c r="A910" i="7"/>
  <c r="A930" i="7"/>
  <c r="A950" i="7"/>
  <c r="A990" i="7"/>
  <c r="A1010" i="7"/>
  <c r="A1030" i="7"/>
  <c r="A1050" i="7"/>
  <c r="A1070" i="7"/>
  <c r="A31" i="7"/>
  <c r="A51" i="7"/>
  <c r="A71" i="7"/>
  <c r="A91" i="7"/>
  <c r="A111" i="7"/>
  <c r="A151" i="7"/>
  <c r="A171" i="7"/>
  <c r="A191" i="7"/>
  <c r="A211" i="7"/>
  <c r="A231" i="7"/>
  <c r="A271" i="7"/>
  <c r="A291" i="7"/>
  <c r="A311" i="7"/>
  <c r="A331" i="7"/>
  <c r="A351" i="7"/>
  <c r="A391" i="7"/>
  <c r="A411" i="7"/>
  <c r="A431" i="7"/>
  <c r="A451" i="7"/>
  <c r="A471" i="7"/>
  <c r="A511" i="7"/>
  <c r="A531" i="7"/>
  <c r="A551" i="7"/>
  <c r="A571" i="7"/>
  <c r="A591" i="7"/>
  <c r="A631" i="7"/>
  <c r="A651" i="7"/>
  <c r="A671" i="7"/>
  <c r="A691" i="7"/>
  <c r="A711" i="7"/>
  <c r="A751" i="7"/>
  <c r="A771" i="7"/>
  <c r="A791" i="7"/>
  <c r="A811" i="7"/>
  <c r="A831" i="7"/>
  <c r="A871" i="7"/>
  <c r="A891" i="7"/>
  <c r="A911" i="7"/>
  <c r="A931" i="7"/>
  <c r="A951" i="7"/>
  <c r="A991" i="7"/>
  <c r="A1011" i="7"/>
  <c r="A1031" i="7"/>
  <c r="A1051" i="7"/>
  <c r="A1071" i="7"/>
  <c r="A32" i="7"/>
  <c r="A52" i="7"/>
  <c r="A72" i="7"/>
  <c r="A92" i="7"/>
  <c r="A112" i="7"/>
  <c r="A152" i="7"/>
  <c r="A172" i="7"/>
  <c r="A192" i="7"/>
  <c r="A212" i="7"/>
  <c r="A232" i="7"/>
  <c r="A272" i="7"/>
  <c r="A292" i="7"/>
  <c r="A312" i="7"/>
  <c r="A332" i="7"/>
  <c r="A352" i="7"/>
  <c r="A392" i="7"/>
  <c r="A412" i="7"/>
  <c r="A432" i="7"/>
  <c r="A452" i="7"/>
  <c r="A472" i="7"/>
  <c r="A512" i="7"/>
  <c r="A532" i="7"/>
  <c r="A552" i="7"/>
  <c r="A572" i="7"/>
  <c r="A592" i="7"/>
  <c r="A632" i="7"/>
  <c r="A652" i="7"/>
  <c r="A672" i="7"/>
  <c r="A692" i="7"/>
  <c r="A712" i="7"/>
  <c r="A752" i="7"/>
  <c r="A772" i="7"/>
  <c r="A792" i="7"/>
  <c r="A812" i="7"/>
  <c r="A832" i="7"/>
  <c r="A872" i="7"/>
  <c r="A892" i="7"/>
  <c r="A912" i="7"/>
  <c r="A932" i="7"/>
  <c r="A952" i="7"/>
  <c r="A992" i="7"/>
  <c r="A1012" i="7"/>
  <c r="A1032" i="7"/>
  <c r="A1052" i="7"/>
  <c r="A1072" i="7"/>
  <c r="A33" i="7"/>
  <c r="A53" i="7"/>
  <c r="A73" i="7"/>
  <c r="A93" i="7"/>
  <c r="A113" i="7"/>
  <c r="A153" i="7"/>
  <c r="A173" i="7"/>
  <c r="A193" i="7"/>
  <c r="A213" i="7"/>
  <c r="A233" i="7"/>
  <c r="A273" i="7"/>
  <c r="A293" i="7"/>
  <c r="A313" i="7"/>
  <c r="A333" i="7"/>
  <c r="A353" i="7"/>
  <c r="A393" i="7"/>
  <c r="A413" i="7"/>
  <c r="A433" i="7"/>
  <c r="A453" i="7"/>
  <c r="A473" i="7"/>
  <c r="A513" i="7"/>
  <c r="A533" i="7"/>
  <c r="A553" i="7"/>
  <c r="A573" i="7"/>
  <c r="A593" i="7"/>
  <c r="A633" i="7"/>
  <c r="A653" i="7"/>
  <c r="A673" i="7"/>
  <c r="A693" i="7"/>
  <c r="A713" i="7"/>
  <c r="A753" i="7"/>
  <c r="A773" i="7"/>
  <c r="A793" i="7"/>
  <c r="A813" i="7"/>
  <c r="A833" i="7"/>
  <c r="A873" i="7"/>
  <c r="A893" i="7"/>
  <c r="A913" i="7"/>
  <c r="A933" i="7"/>
  <c r="A953" i="7"/>
  <c r="A993" i="7"/>
  <c r="A1013" i="7"/>
  <c r="A1033" i="7"/>
  <c r="A1053" i="7"/>
  <c r="A1073" i="7"/>
  <c r="A34" i="7"/>
  <c r="A54" i="7"/>
  <c r="A74" i="7"/>
  <c r="A94" i="7"/>
  <c r="A114" i="7"/>
  <c r="A154" i="7"/>
  <c r="A174" i="7"/>
  <c r="A194" i="7"/>
  <c r="A214" i="7"/>
  <c r="A234" i="7"/>
  <c r="A274" i="7"/>
  <c r="A294" i="7"/>
  <c r="A314" i="7"/>
  <c r="A334" i="7"/>
  <c r="A354" i="7"/>
  <c r="A394" i="7"/>
  <c r="A414" i="7"/>
  <c r="A434" i="7"/>
  <c r="A454" i="7"/>
  <c r="A474" i="7"/>
  <c r="A514" i="7"/>
  <c r="A534" i="7"/>
  <c r="A554" i="7"/>
  <c r="A574" i="7"/>
  <c r="A594" i="7"/>
  <c r="A634" i="7"/>
  <c r="A654" i="7"/>
  <c r="A674" i="7"/>
  <c r="A694" i="7"/>
  <c r="A714" i="7"/>
  <c r="A754" i="7"/>
  <c r="A774" i="7"/>
  <c r="A794" i="7"/>
  <c r="A814" i="7"/>
  <c r="A834" i="7"/>
  <c r="A874" i="7"/>
  <c r="A894" i="7"/>
  <c r="A914" i="7"/>
  <c r="A934" i="7"/>
  <c r="A954" i="7"/>
  <c r="A994" i="7"/>
  <c r="A1014" i="7"/>
  <c r="A1034" i="7"/>
  <c r="A1054" i="7"/>
  <c r="A1074" i="7"/>
  <c r="A35" i="7"/>
  <c r="A55" i="7"/>
  <c r="A75" i="7"/>
  <c r="A95" i="7"/>
  <c r="A115" i="7"/>
  <c r="A155" i="7"/>
  <c r="A175" i="7"/>
  <c r="A195" i="7"/>
  <c r="A215" i="7"/>
  <c r="A235" i="7"/>
  <c r="A275" i="7"/>
  <c r="A295" i="7"/>
  <c r="A315" i="7"/>
  <c r="A335" i="7"/>
  <c r="A355" i="7"/>
  <c r="A395" i="7"/>
  <c r="A415" i="7"/>
  <c r="A435" i="7"/>
  <c r="A455" i="7"/>
  <c r="A475" i="7"/>
  <c r="A515" i="7"/>
  <c r="A535" i="7"/>
  <c r="A555" i="7"/>
  <c r="A575" i="7"/>
  <c r="A595" i="7"/>
  <c r="A635" i="7"/>
  <c r="A655" i="7"/>
  <c r="A675" i="7"/>
  <c r="A695" i="7"/>
  <c r="A715" i="7"/>
  <c r="A755" i="7"/>
  <c r="A775" i="7"/>
  <c r="A795" i="7"/>
  <c r="A815" i="7"/>
  <c r="A835" i="7"/>
  <c r="A875" i="7"/>
  <c r="A895" i="7"/>
  <c r="A915" i="7"/>
  <c r="A935" i="7"/>
  <c r="A955" i="7"/>
  <c r="A995" i="7"/>
  <c r="A1015" i="7"/>
  <c r="A1035" i="7"/>
  <c r="A1055" i="7"/>
  <c r="A1075" i="7"/>
  <c r="A36" i="7"/>
  <c r="A56" i="7"/>
  <c r="A76" i="7"/>
  <c r="A96" i="7"/>
  <c r="A116" i="7"/>
  <c r="A156" i="7"/>
  <c r="A176" i="7"/>
  <c r="A196" i="7"/>
  <c r="A216" i="7"/>
  <c r="A236" i="7"/>
  <c r="A276" i="7"/>
  <c r="A296" i="7"/>
  <c r="A316" i="7"/>
  <c r="A336" i="7"/>
  <c r="A356" i="7"/>
  <c r="A396" i="7"/>
  <c r="A416" i="7"/>
  <c r="A436" i="7"/>
  <c r="A456" i="7"/>
  <c r="A476" i="7"/>
  <c r="A516" i="7"/>
  <c r="A536" i="7"/>
  <c r="A556" i="7"/>
  <c r="A576" i="7"/>
  <c r="A596" i="7"/>
  <c r="A636" i="7"/>
  <c r="A656" i="7"/>
  <c r="A676" i="7"/>
  <c r="A696" i="7"/>
  <c r="A716" i="7"/>
  <c r="A756" i="7"/>
  <c r="A776" i="7"/>
  <c r="A796" i="7"/>
  <c r="A816" i="7"/>
  <c r="A836" i="7"/>
  <c r="A876" i="7"/>
  <c r="A896" i="7"/>
  <c r="A916" i="7"/>
  <c r="A936" i="7"/>
  <c r="A956" i="7"/>
  <c r="A996" i="7"/>
  <c r="A1016" i="7"/>
  <c r="A1036" i="7"/>
  <c r="A1056" i="7"/>
  <c r="A1076" i="7"/>
  <c r="A37" i="7"/>
  <c r="A57" i="7"/>
  <c r="A77" i="7"/>
  <c r="A97" i="7"/>
  <c r="A117" i="7"/>
  <c r="A157" i="7"/>
  <c r="A177" i="7"/>
  <c r="A197" i="7"/>
  <c r="A217" i="7"/>
  <c r="A237" i="7"/>
  <c r="A277" i="7"/>
  <c r="A297" i="7"/>
  <c r="A317" i="7"/>
  <c r="A337" i="7"/>
  <c r="A357" i="7"/>
  <c r="A397" i="7"/>
  <c r="A417" i="7"/>
  <c r="A437" i="7"/>
  <c r="A457" i="7"/>
  <c r="A477" i="7"/>
  <c r="A517" i="7"/>
  <c r="A537" i="7"/>
  <c r="A557" i="7"/>
  <c r="A577" i="7"/>
  <c r="A597" i="7"/>
  <c r="A637" i="7"/>
  <c r="A657" i="7"/>
  <c r="A677" i="7"/>
  <c r="A697" i="7"/>
  <c r="A717" i="7"/>
  <c r="A757" i="7"/>
  <c r="A777" i="7"/>
  <c r="A797" i="7"/>
  <c r="A817" i="7"/>
  <c r="A837" i="7"/>
  <c r="A877" i="7"/>
  <c r="A897" i="7"/>
  <c r="A917" i="7"/>
  <c r="A937" i="7"/>
  <c r="A957" i="7"/>
  <c r="A997" i="7"/>
  <c r="A1017" i="7"/>
  <c r="A1037" i="7"/>
  <c r="A1057" i="7"/>
  <c r="A1077" i="7"/>
  <c r="A38" i="7"/>
  <c r="A58" i="7"/>
  <c r="A78" i="7"/>
  <c r="A98" i="7"/>
  <c r="A118" i="7"/>
  <c r="A158" i="7"/>
  <c r="A178" i="7"/>
  <c r="A198" i="7"/>
  <c r="A218" i="7"/>
  <c r="A238" i="7"/>
  <c r="A278" i="7"/>
  <c r="A298" i="7"/>
  <c r="A318" i="7"/>
  <c r="A338" i="7"/>
  <c r="A358" i="7"/>
  <c r="A398" i="7"/>
  <c r="A418" i="7"/>
  <c r="A438" i="7"/>
  <c r="A458" i="7"/>
  <c r="A478" i="7"/>
  <c r="A518" i="7"/>
  <c r="A538" i="7"/>
  <c r="A558" i="7"/>
  <c r="A578" i="7"/>
  <c r="A598" i="7"/>
  <c r="A638" i="7"/>
  <c r="A658" i="7"/>
  <c r="A678" i="7"/>
  <c r="A698" i="7"/>
  <c r="A718" i="7"/>
  <c r="A758" i="7"/>
  <c r="A778" i="7"/>
  <c r="A798" i="7"/>
  <c r="A818" i="7"/>
  <c r="A838" i="7"/>
  <c r="A878" i="7"/>
  <c r="A898" i="7"/>
  <c r="A918" i="7"/>
  <c r="A938" i="7"/>
  <c r="A958" i="7"/>
  <c r="A998" i="7"/>
  <c r="A1018" i="7"/>
  <c r="A1038" i="7"/>
  <c r="A1058" i="7"/>
  <c r="A1078" i="7"/>
  <c r="A39" i="7"/>
  <c r="A59" i="7"/>
  <c r="A79" i="7"/>
  <c r="A99" i="7"/>
  <c r="A119" i="7"/>
  <c r="A159" i="7"/>
  <c r="A179" i="7"/>
  <c r="A199" i="7"/>
  <c r="A219" i="7"/>
  <c r="A239" i="7"/>
  <c r="A279" i="7"/>
  <c r="A299" i="7"/>
  <c r="A319" i="7"/>
  <c r="A339" i="7"/>
  <c r="A359" i="7"/>
  <c r="A399" i="7"/>
  <c r="A419" i="7"/>
  <c r="A439" i="7"/>
  <c r="A459" i="7"/>
  <c r="A479" i="7"/>
  <c r="A519" i="7"/>
  <c r="A539" i="7"/>
  <c r="A559" i="7"/>
  <c r="A579" i="7"/>
  <c r="A599" i="7"/>
  <c r="A639" i="7"/>
  <c r="A659" i="7"/>
  <c r="A679" i="7"/>
  <c r="A699" i="7"/>
  <c r="A719" i="7"/>
  <c r="A759" i="7"/>
  <c r="A779" i="7"/>
  <c r="A799" i="7"/>
  <c r="A819" i="7"/>
  <c r="A839" i="7"/>
  <c r="A879" i="7"/>
  <c r="A899" i="7"/>
  <c r="A919" i="7"/>
  <c r="A939" i="7"/>
  <c r="A959" i="7"/>
  <c r="A999" i="7"/>
  <c r="A1019" i="7"/>
  <c r="A1039" i="7"/>
  <c r="A1059" i="7"/>
  <c r="A1079" i="7"/>
  <c r="A40" i="7"/>
  <c r="A60" i="7"/>
  <c r="A80" i="7"/>
  <c r="A100" i="7"/>
  <c r="A120" i="7"/>
  <c r="A160" i="7"/>
  <c r="A180" i="7"/>
  <c r="A200" i="7"/>
  <c r="A220" i="7"/>
  <c r="A240" i="7"/>
  <c r="A280" i="7"/>
  <c r="A300" i="7"/>
  <c r="A320" i="7"/>
  <c r="A340" i="7"/>
  <c r="A360" i="7"/>
  <c r="A400" i="7"/>
  <c r="A420" i="7"/>
  <c r="A440" i="7"/>
  <c r="A460" i="7"/>
  <c r="A480" i="7"/>
  <c r="A520" i="7"/>
  <c r="A540" i="7"/>
  <c r="A560" i="7"/>
  <c r="A580" i="7"/>
  <c r="A600" i="7"/>
  <c r="A640" i="7"/>
  <c r="A660" i="7"/>
  <c r="A680" i="7"/>
  <c r="A700" i="7"/>
  <c r="A720" i="7"/>
  <c r="A760" i="7"/>
  <c r="A780" i="7"/>
  <c r="A800" i="7"/>
  <c r="A820" i="7"/>
  <c r="A840" i="7"/>
  <c r="A880" i="7"/>
  <c r="A900" i="7"/>
  <c r="A920" i="7"/>
  <c r="A940" i="7"/>
  <c r="A960" i="7"/>
  <c r="A1000" i="7"/>
  <c r="A1020" i="7"/>
  <c r="A1040" i="7"/>
  <c r="A1060" i="7"/>
  <c r="A1080" i="7"/>
  <c r="A41" i="7"/>
  <c r="A61" i="7"/>
  <c r="A81" i="7"/>
  <c r="A101" i="7"/>
  <c r="A121" i="7"/>
  <c r="A161" i="7"/>
  <c r="A181" i="7"/>
  <c r="A201" i="7"/>
  <c r="A221" i="7"/>
  <c r="A241" i="7"/>
  <c r="A281" i="7"/>
  <c r="A301" i="7"/>
  <c r="A321" i="7"/>
  <c r="A341" i="7"/>
  <c r="A361" i="7"/>
  <c r="A401" i="7"/>
  <c r="A421" i="7"/>
  <c r="A441" i="7"/>
  <c r="A461" i="7"/>
  <c r="A481" i="7"/>
  <c r="A521" i="7"/>
  <c r="A541" i="7"/>
  <c r="A561" i="7"/>
  <c r="A581" i="7"/>
  <c r="A601" i="7"/>
  <c r="A641" i="7"/>
  <c r="A661" i="7"/>
  <c r="A681" i="7"/>
  <c r="A701" i="7"/>
  <c r="A721" i="7"/>
  <c r="A761" i="7"/>
  <c r="A781" i="7"/>
  <c r="A801" i="7"/>
  <c r="A821" i="7"/>
  <c r="A841" i="7"/>
  <c r="A881" i="7"/>
  <c r="A901" i="7"/>
  <c r="A921" i="7"/>
  <c r="A941" i="7"/>
  <c r="A961" i="7"/>
  <c r="A1001" i="7"/>
  <c r="A1021" i="7"/>
  <c r="A1041" i="7"/>
  <c r="A1061" i="7"/>
  <c r="A1081" i="7"/>
  <c r="A42" i="7"/>
  <c r="A62" i="7"/>
  <c r="A82" i="7"/>
  <c r="A102" i="7"/>
  <c r="A122" i="7"/>
  <c r="A162" i="7"/>
  <c r="A182" i="7"/>
  <c r="A202" i="7"/>
  <c r="A222" i="7"/>
  <c r="A242" i="7"/>
  <c r="A282" i="7"/>
  <c r="A302" i="7"/>
  <c r="A322" i="7"/>
  <c r="A342" i="7"/>
  <c r="A362" i="7"/>
  <c r="A402" i="7"/>
  <c r="A422" i="7"/>
  <c r="A442" i="7"/>
  <c r="A462" i="7"/>
  <c r="A482" i="7"/>
  <c r="A522" i="7"/>
  <c r="A542" i="7"/>
  <c r="A562" i="7"/>
  <c r="A582" i="7"/>
  <c r="A602" i="7"/>
  <c r="A642" i="7"/>
  <c r="A662" i="7"/>
  <c r="A682" i="7"/>
  <c r="A702" i="7"/>
  <c r="A722" i="7"/>
  <c r="A762" i="7"/>
  <c r="A782" i="7"/>
  <c r="A802" i="7"/>
  <c r="A822" i="7"/>
  <c r="A842" i="7"/>
  <c r="A882" i="7"/>
  <c r="A902" i="7"/>
  <c r="A922" i="7"/>
  <c r="A942" i="7"/>
  <c r="A962" i="7"/>
  <c r="A1002" i="7"/>
  <c r="A1022" i="7"/>
  <c r="A1042" i="7"/>
  <c r="A1062" i="7"/>
  <c r="A1082" i="7"/>
  <c r="A43" i="7"/>
  <c r="A63" i="7"/>
  <c r="A83" i="7"/>
  <c r="A103" i="7"/>
  <c r="A123" i="7"/>
  <c r="A163" i="7"/>
  <c r="A183" i="7"/>
  <c r="A203" i="7"/>
  <c r="A223" i="7"/>
  <c r="A243" i="7"/>
  <c r="A283" i="7"/>
  <c r="A303" i="7"/>
  <c r="A323" i="7"/>
  <c r="A343" i="7"/>
  <c r="A363" i="7"/>
  <c r="A403" i="7"/>
  <c r="A423" i="7"/>
  <c r="A443" i="7"/>
  <c r="A463" i="7"/>
  <c r="A483" i="7"/>
  <c r="A523" i="7"/>
  <c r="A543" i="7"/>
  <c r="A563" i="7"/>
  <c r="A583" i="7"/>
  <c r="A603" i="7"/>
  <c r="A643" i="7"/>
  <c r="A663" i="7"/>
  <c r="A683" i="7"/>
  <c r="A703" i="7"/>
  <c r="A723" i="7"/>
  <c r="A763" i="7"/>
  <c r="A783" i="7"/>
  <c r="A803" i="7"/>
  <c r="A823" i="7"/>
  <c r="A843" i="7"/>
  <c r="A883" i="7"/>
  <c r="A903" i="7"/>
  <c r="A923" i="7"/>
  <c r="A943" i="7"/>
  <c r="A963" i="7"/>
  <c r="A1003" i="7"/>
  <c r="A1023" i="7"/>
  <c r="A1043" i="7"/>
  <c r="A1063" i="7"/>
  <c r="A1083" i="7"/>
  <c r="A5" i="7"/>
  <c r="A6" i="7"/>
  <c r="A7" i="7"/>
  <c r="A8" i="7"/>
  <c r="A9" i="7"/>
  <c r="A10" i="7"/>
  <c r="A11" i="7"/>
  <c r="A12" i="7"/>
  <c r="A13" i="7"/>
  <c r="A14" i="7"/>
  <c r="A15" i="7"/>
  <c r="A16" i="7"/>
  <c r="A17" i="7"/>
  <c r="A18" i="7"/>
  <c r="A19" i="7"/>
  <c r="A20" i="7"/>
  <c r="A21" i="7"/>
  <c r="A22" i="7"/>
  <c r="A23" i="7"/>
  <c r="A124" i="7"/>
  <c r="A125" i="7"/>
  <c r="A126" i="7"/>
  <c r="A127" i="7"/>
  <c r="A128" i="7"/>
  <c r="A129" i="7"/>
  <c r="A130" i="7"/>
  <c r="A131" i="7"/>
  <c r="A132" i="7"/>
  <c r="A133" i="7"/>
  <c r="A134" i="7"/>
  <c r="A135" i="7"/>
  <c r="A136" i="7"/>
  <c r="A137" i="7"/>
  <c r="A138" i="7"/>
  <c r="A139" i="7"/>
  <c r="A140" i="7"/>
  <c r="A141" i="7"/>
  <c r="A142" i="7"/>
  <c r="A143" i="7"/>
  <c r="A244" i="7"/>
  <c r="A245" i="7"/>
  <c r="A246" i="7"/>
  <c r="A247" i="7"/>
  <c r="A248" i="7"/>
  <c r="A249" i="7"/>
  <c r="A250" i="7"/>
  <c r="A251" i="7"/>
  <c r="A252" i="7"/>
  <c r="A253" i="7"/>
  <c r="A254" i="7"/>
  <c r="A255" i="7"/>
  <c r="A256" i="7"/>
  <c r="A257" i="7"/>
  <c r="A258" i="7"/>
  <c r="A259" i="7"/>
  <c r="A260" i="7"/>
  <c r="A261" i="7"/>
  <c r="A262" i="7"/>
  <c r="A263" i="7"/>
  <c r="A364" i="7"/>
  <c r="A365" i="7"/>
  <c r="A366" i="7"/>
  <c r="A367" i="7"/>
  <c r="A368" i="7"/>
  <c r="A369" i="7"/>
  <c r="A370" i="7"/>
  <c r="A371" i="7"/>
  <c r="A372" i="7"/>
  <c r="A373" i="7"/>
  <c r="A374" i="7"/>
  <c r="A375" i="7"/>
  <c r="A376" i="7"/>
  <c r="A377" i="7"/>
  <c r="A378" i="7"/>
  <c r="A379" i="7"/>
  <c r="A380" i="7"/>
  <c r="A381" i="7"/>
  <c r="A382" i="7"/>
  <c r="A383" i="7"/>
  <c r="A484" i="7"/>
  <c r="A485" i="7"/>
  <c r="A486" i="7"/>
  <c r="A487" i="7"/>
  <c r="A488" i="7"/>
  <c r="A489" i="7"/>
  <c r="A490" i="7"/>
  <c r="A491" i="7"/>
  <c r="A492" i="7"/>
  <c r="A493" i="7"/>
  <c r="A494" i="7"/>
  <c r="A495" i="7"/>
  <c r="A496" i="7"/>
  <c r="A497" i="7"/>
  <c r="A498" i="7"/>
  <c r="A499" i="7"/>
  <c r="A500" i="7"/>
  <c r="A501" i="7"/>
  <c r="A502" i="7"/>
  <c r="A503" i="7"/>
  <c r="A604" i="7"/>
  <c r="A605" i="7"/>
  <c r="A606" i="7"/>
  <c r="A607" i="7"/>
  <c r="A608" i="7"/>
  <c r="A609" i="7"/>
  <c r="A610" i="7"/>
  <c r="A611" i="7"/>
  <c r="A612" i="7"/>
  <c r="A613" i="7"/>
  <c r="A614" i="7"/>
  <c r="A615" i="7"/>
  <c r="A616" i="7"/>
  <c r="A617" i="7"/>
  <c r="A618" i="7"/>
  <c r="A619" i="7"/>
  <c r="A620" i="7"/>
  <c r="A621" i="7"/>
  <c r="A622" i="7"/>
  <c r="A623" i="7"/>
  <c r="A724" i="7"/>
  <c r="A725" i="7"/>
  <c r="A726" i="7"/>
  <c r="A727" i="7"/>
  <c r="A728" i="7"/>
  <c r="A729" i="7"/>
  <c r="A730" i="7"/>
  <c r="A731" i="7"/>
  <c r="A732" i="7"/>
  <c r="A733" i="7"/>
  <c r="A734" i="7"/>
  <c r="A735" i="7"/>
  <c r="A736" i="7"/>
  <c r="A737" i="7"/>
  <c r="A738" i="7"/>
  <c r="A739" i="7"/>
  <c r="A740" i="7"/>
  <c r="A741" i="7"/>
  <c r="A742" i="7"/>
  <c r="A743" i="7"/>
  <c r="A844" i="7"/>
  <c r="A845" i="7"/>
  <c r="A846" i="7"/>
  <c r="A847" i="7"/>
  <c r="A848" i="7"/>
  <c r="A849" i="7"/>
  <c r="A850" i="7"/>
  <c r="A851" i="7"/>
  <c r="A852" i="7"/>
  <c r="A853" i="7"/>
  <c r="A854" i="7"/>
  <c r="A855" i="7"/>
  <c r="A856" i="7"/>
  <c r="A857" i="7"/>
  <c r="A858" i="7"/>
  <c r="A859" i="7"/>
  <c r="A860" i="7"/>
  <c r="A861" i="7"/>
  <c r="A862" i="7"/>
  <c r="A863" i="7"/>
  <c r="A964" i="7"/>
  <c r="A965" i="7"/>
  <c r="A966" i="7"/>
  <c r="A967" i="7"/>
  <c r="A968" i="7"/>
  <c r="A969" i="7"/>
  <c r="A970" i="7"/>
  <c r="A971" i="7"/>
  <c r="A972" i="7"/>
  <c r="A973" i="7"/>
  <c r="A974" i="7"/>
  <c r="A975" i="7"/>
  <c r="A976" i="7"/>
  <c r="A977" i="7"/>
  <c r="A978" i="7"/>
  <c r="A979" i="7"/>
  <c r="A980" i="7"/>
  <c r="A981" i="7"/>
  <c r="A982" i="7"/>
  <c r="A983" i="7"/>
  <c r="A4" i="7"/>
  <c r="Z91" i="2" l="1"/>
  <c r="AG26" i="16"/>
  <c r="AG31" i="16"/>
  <c r="AA31" i="1"/>
  <c r="AA36" i="1"/>
  <c r="AA41" i="1"/>
  <c r="AA46" i="1"/>
  <c r="AA51" i="1"/>
  <c r="AA56" i="1"/>
  <c r="AA10" i="1"/>
  <c r="AA15" i="1"/>
  <c r="T11" i="2"/>
  <c r="X11" i="2"/>
  <c r="AB11" i="2"/>
  <c r="AB86" i="2"/>
  <c r="AB91" i="2"/>
  <c r="AB96" i="2"/>
  <c r="AB101" i="2"/>
  <c r="AB106" i="2"/>
  <c r="AB111" i="2"/>
  <c r="AB51" i="2"/>
  <c r="AB66" i="2" s="1"/>
  <c r="AB57" i="2"/>
  <c r="AB72" i="2" s="1"/>
  <c r="AB62" i="2"/>
  <c r="AB77" i="2" s="1"/>
  <c r="AB22" i="2"/>
  <c r="AB15" i="2"/>
  <c r="AB17" i="2"/>
  <c r="AB92" i="2"/>
  <c r="AB102" i="2"/>
  <c r="AB112" i="2"/>
  <c r="AB58" i="2"/>
  <c r="AB73" i="2" s="1"/>
  <c r="AB63" i="2"/>
  <c r="AB78" i="2" s="1"/>
  <c r="AB12" i="2"/>
  <c r="AA35" i="1"/>
  <c r="AA50" i="1"/>
  <c r="AA14" i="1"/>
  <c r="AA11" i="2"/>
  <c r="AB95" i="2"/>
  <c r="AB110" i="2"/>
  <c r="AB61" i="2"/>
  <c r="AB76" i="2" s="1"/>
  <c r="AB13" i="2"/>
  <c r="AG27" i="16"/>
  <c r="AG32" i="16"/>
  <c r="AA32" i="1"/>
  <c r="AA37" i="1"/>
  <c r="AA42" i="1"/>
  <c r="AA47" i="1"/>
  <c r="AA52" i="1"/>
  <c r="AA57" i="1"/>
  <c r="AA11" i="1"/>
  <c r="AA16" i="1"/>
  <c r="U11" i="2"/>
  <c r="Y11" i="2"/>
  <c r="AA55" i="2"/>
  <c r="AA70" i="2" s="1"/>
  <c r="AB87" i="2"/>
  <c r="AB97" i="2"/>
  <c r="AB107" i="2"/>
  <c r="AB52" i="2"/>
  <c r="AB67" i="2" s="1"/>
  <c r="AB26" i="2"/>
  <c r="AA30" i="1"/>
  <c r="AA45" i="1"/>
  <c r="S11" i="2"/>
  <c r="AB85" i="2"/>
  <c r="AB100" i="2"/>
  <c r="AB50" i="2"/>
  <c r="AB65" i="2" s="1"/>
  <c r="AB27" i="2"/>
  <c r="AG28" i="16"/>
  <c r="AA29" i="1"/>
  <c r="AA34" i="1"/>
  <c r="AA39" i="1"/>
  <c r="AA44" i="1"/>
  <c r="AA49" i="1"/>
  <c r="AA54" i="1"/>
  <c r="AA12" i="1"/>
  <c r="BL9" i="2"/>
  <c r="V11" i="2"/>
  <c r="Z11" i="2"/>
  <c r="AB55" i="2"/>
  <c r="AB70" i="2" s="1"/>
  <c r="AB88" i="2"/>
  <c r="AB93" i="2"/>
  <c r="AB98" i="2"/>
  <c r="AB103" i="2"/>
  <c r="AB108" i="2"/>
  <c r="AB113" i="2"/>
  <c r="AB53" i="2"/>
  <c r="AB68" i="2" s="1"/>
  <c r="AB60" i="2"/>
  <c r="AB75" i="2" s="1"/>
  <c r="AB21" i="2"/>
  <c r="AB23" i="2"/>
  <c r="AB16" i="2"/>
  <c r="AG30" i="16"/>
  <c r="AA40" i="1"/>
  <c r="AA55" i="1"/>
  <c r="W11" i="2"/>
  <c r="AB90" i="2"/>
  <c r="AB105" i="2"/>
  <c r="AB56" i="2"/>
  <c r="AB71" i="2" s="1"/>
  <c r="AB25" i="2"/>
  <c r="U32" i="1"/>
  <c r="T62" i="2"/>
  <c r="T77" i="2" s="1"/>
  <c r="V49" i="1"/>
  <c r="W11" i="1"/>
  <c r="Z29" i="1"/>
  <c r="X16" i="1"/>
  <c r="S51" i="1"/>
  <c r="X11" i="1"/>
  <c r="Z46" i="1"/>
  <c r="T30" i="1"/>
  <c r="W55" i="1"/>
  <c r="U35" i="1"/>
  <c r="V52" i="1"/>
  <c r="S111" i="2"/>
  <c r="W102" i="2"/>
  <c r="W86" i="2"/>
  <c r="Z110" i="2"/>
  <c r="V105" i="2"/>
  <c r="Z100" i="2"/>
  <c r="V96" i="2"/>
  <c r="X111" i="2"/>
  <c r="T107" i="2"/>
  <c r="X91" i="2"/>
  <c r="T50" i="2"/>
  <c r="T65" i="2" s="1"/>
  <c r="X60" i="2"/>
  <c r="X75" i="2" s="1"/>
  <c r="Y113" i="2"/>
  <c r="Y103" i="2"/>
  <c r="AA50" i="2"/>
  <c r="AA65" i="2" s="1"/>
  <c r="Y26" i="2"/>
  <c r="X21" i="2"/>
  <c r="Y92" i="2"/>
  <c r="AZ12" i="1"/>
  <c r="S110" i="2"/>
  <c r="W93" i="2"/>
  <c r="V110" i="2"/>
  <c r="V100" i="2"/>
  <c r="Z87" i="2"/>
  <c r="Z50" i="2"/>
  <c r="Z65" i="2" s="1"/>
  <c r="T111" i="2"/>
  <c r="X95" i="2"/>
  <c r="T91" i="2"/>
  <c r="U61" i="2"/>
  <c r="U76" i="2" s="1"/>
  <c r="Y97" i="2"/>
  <c r="W63" i="2"/>
  <c r="W78" i="2" s="1"/>
  <c r="AA21" i="2"/>
  <c r="Y110" i="2"/>
  <c r="Y105" i="2"/>
  <c r="W50" i="2"/>
  <c r="W65" i="2" s="1"/>
  <c r="X51" i="2"/>
  <c r="X66" i="2" s="1"/>
  <c r="W55" i="2"/>
  <c r="W70" i="2" s="1"/>
  <c r="U63" i="2"/>
  <c r="U78" i="2" s="1"/>
  <c r="S22" i="2"/>
  <c r="V27" i="2"/>
  <c r="Z23" i="2"/>
  <c r="AA26" i="16"/>
  <c r="BL10" i="2"/>
  <c r="AA106" i="2"/>
  <c r="S98" i="2"/>
  <c r="AA90" i="2"/>
  <c r="V107" i="2"/>
  <c r="V90" i="2"/>
  <c r="X101" i="2"/>
  <c r="T97" i="2"/>
  <c r="X85" i="2"/>
  <c r="S53" i="2"/>
  <c r="S68" i="2" s="1"/>
  <c r="Z57" i="2"/>
  <c r="Z72" i="2" s="1"/>
  <c r="Y108" i="2"/>
  <c r="X52" i="2"/>
  <c r="X67" i="2" s="1"/>
  <c r="Y58" i="2"/>
  <c r="Y73" i="2" s="1"/>
  <c r="Z63" i="2"/>
  <c r="Z78" i="2" s="1"/>
  <c r="Y25" i="2"/>
  <c r="U88" i="2"/>
  <c r="T51" i="2"/>
  <c r="T66" i="2" s="1"/>
  <c r="S55" i="2"/>
  <c r="S70" i="2" s="1"/>
  <c r="X56" i="2"/>
  <c r="X71" i="2" s="1"/>
  <c r="T61" i="2"/>
  <c r="T76" i="2" s="1"/>
  <c r="AA63" i="2"/>
  <c r="AA78" i="2" s="1"/>
  <c r="Y22" i="2"/>
  <c r="X25" i="2"/>
  <c r="W21" i="2"/>
  <c r="V13" i="2"/>
  <c r="V16" i="2"/>
  <c r="V58" i="2"/>
  <c r="V73" i="2" s="1"/>
  <c r="U60" i="2"/>
  <c r="U75" i="2" s="1"/>
  <c r="Y63" i="2"/>
  <c r="Y78" i="2" s="1"/>
  <c r="W22" i="2"/>
  <c r="V23" i="2"/>
  <c r="Z26" i="2"/>
  <c r="T17" i="2"/>
  <c r="T101" i="2"/>
  <c r="T85" i="2"/>
  <c r="S61" i="2"/>
  <c r="S76" i="2" s="1"/>
  <c r="S63" i="2"/>
  <c r="S78" i="2" s="1"/>
  <c r="U111" i="2"/>
  <c r="U101" i="2"/>
  <c r="Y90" i="2"/>
  <c r="Y57" i="2"/>
  <c r="Y72" i="2" s="1"/>
  <c r="X62" i="2"/>
  <c r="X77" i="2" s="1"/>
  <c r="Z27" i="2"/>
  <c r="V25" i="2"/>
  <c r="X13" i="2"/>
  <c r="T16" i="2"/>
  <c r="W27" i="2"/>
  <c r="S25" i="2"/>
  <c r="W13" i="2"/>
  <c r="AA15" i="2"/>
  <c r="U12" i="2"/>
  <c r="Y111" i="2"/>
  <c r="W26" i="2"/>
  <c r="U112" i="2"/>
  <c r="Y96" i="2"/>
  <c r="AA26" i="2"/>
  <c r="AA27" i="2"/>
  <c r="W25" i="2"/>
  <c r="S13" i="2"/>
  <c r="Z15" i="2"/>
  <c r="X22" i="2"/>
  <c r="Y112" i="2"/>
  <c r="W60" i="2"/>
  <c r="W75" i="2" s="1"/>
  <c r="V62" i="2"/>
  <c r="V77" i="2" s="1"/>
  <c r="X27" i="2"/>
  <c r="T26" i="2"/>
  <c r="S21" i="2"/>
  <c r="Z13" i="2"/>
  <c r="U86" i="2"/>
  <c r="U52" i="2"/>
  <c r="U67" i="2" s="1"/>
  <c r="W61" i="2"/>
  <c r="W76" i="2" s="1"/>
  <c r="V26" i="2"/>
  <c r="Y21" i="2"/>
  <c r="X17" i="2"/>
  <c r="X16" i="2"/>
  <c r="Y101" i="2"/>
  <c r="AA23" i="2"/>
  <c r="V21" i="2"/>
  <c r="S16" i="2"/>
  <c r="T12" i="2"/>
  <c r="Y91" i="2"/>
  <c r="AA62" i="2"/>
  <c r="AA77" i="2" s="1"/>
  <c r="AA25" i="2"/>
  <c r="Y15" i="2"/>
  <c r="U92" i="2"/>
  <c r="Y53" i="2"/>
  <c r="Y68" i="2" s="1"/>
  <c r="W62" i="2"/>
  <c r="W77" i="2" s="1"/>
  <c r="V22" i="2"/>
  <c r="T15" i="2"/>
  <c r="S50" i="2"/>
  <c r="S65" i="2" s="1"/>
  <c r="Y106" i="2"/>
  <c r="Z21" i="2"/>
  <c r="S12" i="2"/>
  <c r="Y12" i="2"/>
  <c r="Y60" i="2"/>
  <c r="Y75" i="2" s="1"/>
  <c r="S23" i="2"/>
  <c r="Z16" i="2"/>
  <c r="U15" i="2"/>
  <c r="R56" i="1"/>
  <c r="V55" i="1"/>
  <c r="Z54" i="1"/>
  <c r="Z51" i="1"/>
  <c r="V112" i="2"/>
  <c r="Z93" i="2"/>
  <c r="W58" i="2"/>
  <c r="W73" i="2" s="1"/>
  <c r="V53" i="2"/>
  <c r="V68" i="2" s="1"/>
  <c r="U57" i="2"/>
  <c r="U72" i="2" s="1"/>
  <c r="Z62" i="2"/>
  <c r="Z77" i="2" s="1"/>
  <c r="T27" i="2"/>
  <c r="U106" i="2"/>
  <c r="Y95" i="2"/>
  <c r="Y85" i="2"/>
  <c r="T56" i="2"/>
  <c r="T71" i="2" s="1"/>
  <c r="U21" i="2"/>
  <c r="U97" i="2"/>
  <c r="W51" i="2"/>
  <c r="W66" i="2" s="1"/>
  <c r="X57" i="2"/>
  <c r="X72" i="2" s="1"/>
  <c r="S62" i="2"/>
  <c r="S77" i="2" s="1"/>
  <c r="X12" i="2"/>
  <c r="S15" i="2"/>
  <c r="T52" i="2"/>
  <c r="T67" i="2" s="1"/>
  <c r="V12" i="2"/>
  <c r="S60" i="2"/>
  <c r="S75" i="2" s="1"/>
  <c r="T63" i="2"/>
  <c r="T78" i="2" s="1"/>
  <c r="S27" i="2"/>
  <c r="AA56" i="2"/>
  <c r="AA71" i="2" s="1"/>
  <c r="U102" i="2"/>
  <c r="Y86" i="2"/>
  <c r="V55" i="2"/>
  <c r="V70" i="2" s="1"/>
  <c r="AA16" i="2"/>
  <c r="W12" i="2"/>
  <c r="X63" i="2"/>
  <c r="X78" i="2" s="1"/>
  <c r="Z57" i="1"/>
  <c r="R55" i="1"/>
  <c r="V54" i="1"/>
  <c r="V59" i="1" s="1"/>
  <c r="Z52" i="1"/>
  <c r="V51" i="1"/>
  <c r="BC10" i="1"/>
  <c r="Z53" i="2"/>
  <c r="Z68" i="2" s="1"/>
  <c r="U58" i="2"/>
  <c r="U73" i="2" s="1"/>
  <c r="V61" i="2"/>
  <c r="V76" i="2" s="1"/>
  <c r="S26" i="2"/>
  <c r="V15" i="2"/>
  <c r="U87" i="2"/>
  <c r="V56" i="1"/>
  <c r="R52" i="1"/>
  <c r="V50" i="1"/>
  <c r="R49" i="1"/>
  <c r="Z42" i="1"/>
  <c r="R40" i="1"/>
  <c r="V39" i="1"/>
  <c r="Z37" i="1"/>
  <c r="R35" i="1"/>
  <c r="V34" i="1"/>
  <c r="Z47" i="1"/>
  <c r="U55" i="1"/>
  <c r="Y54" i="1"/>
  <c r="U53" i="2"/>
  <c r="U68" i="2" s="1"/>
  <c r="Z58" i="2"/>
  <c r="Z73" i="2" s="1"/>
  <c r="X23" i="2"/>
  <c r="AA22" i="2"/>
  <c r="T13" i="2"/>
  <c r="W15" i="2"/>
  <c r="Z22" i="2"/>
  <c r="U107" i="2"/>
  <c r="W17" i="2"/>
  <c r="V57" i="1"/>
  <c r="R54" i="1"/>
  <c r="Z49" i="1"/>
  <c r="V42" i="1"/>
  <c r="Z41" i="1"/>
  <c r="R39" i="1"/>
  <c r="V37" i="1"/>
  <c r="Z36" i="1"/>
  <c r="R34" i="1"/>
  <c r="V47" i="1"/>
  <c r="Y57" i="1"/>
  <c r="U54" i="1"/>
  <c r="Y52" i="1"/>
  <c r="U51" i="1"/>
  <c r="U42" i="1"/>
  <c r="Y41" i="1"/>
  <c r="U37" i="1"/>
  <c r="Y36" i="1"/>
  <c r="U47" i="1"/>
  <c r="X55" i="1"/>
  <c r="T51" i="1"/>
  <c r="X40" i="1"/>
  <c r="T36" i="1"/>
  <c r="U45" i="1"/>
  <c r="Y44" i="1"/>
  <c r="U30" i="1"/>
  <c r="Y29" i="1"/>
  <c r="S56" i="1"/>
  <c r="S61" i="1" s="1"/>
  <c r="W50" i="1"/>
  <c r="W60" i="1" s="1"/>
  <c r="S41" i="1"/>
  <c r="W35" i="1"/>
  <c r="X46" i="1"/>
  <c r="T32" i="1"/>
  <c r="X31" i="1"/>
  <c r="R29" i="1"/>
  <c r="T55" i="1"/>
  <c r="Z31" i="1"/>
  <c r="R44" i="1"/>
  <c r="S37" i="1"/>
  <c r="W41" i="1"/>
  <c r="S31" i="1"/>
  <c r="W45" i="1"/>
  <c r="T47" i="1"/>
  <c r="X36" i="1"/>
  <c r="Z32" i="1"/>
  <c r="R45" i="1"/>
  <c r="S40" i="1"/>
  <c r="W49" i="1"/>
  <c r="S30" i="1"/>
  <c r="W44" i="1"/>
  <c r="X34" i="1"/>
  <c r="Y15" i="1"/>
  <c r="U11" i="1"/>
  <c r="X15" i="1"/>
  <c r="U15" i="1"/>
  <c r="S15" i="1"/>
  <c r="W12" i="1"/>
  <c r="Y12" i="1"/>
  <c r="W10" i="1"/>
  <c r="R15" i="1"/>
  <c r="V12" i="1"/>
  <c r="Z16" i="1"/>
  <c r="X105" i="2"/>
  <c r="Z61" i="2"/>
  <c r="Z76" i="2" s="1"/>
  <c r="T25" i="2"/>
  <c r="U91" i="2"/>
  <c r="Z60" i="2"/>
  <c r="Z75" i="2" s="1"/>
  <c r="AA17" i="2"/>
  <c r="W16" i="2"/>
  <c r="W23" i="2"/>
  <c r="AA61" i="2"/>
  <c r="AA76" i="2" s="1"/>
  <c r="AA13" i="2"/>
  <c r="S17" i="2"/>
  <c r="R57" i="1"/>
  <c r="Z55" i="1"/>
  <c r="R50" i="1"/>
  <c r="R42" i="1"/>
  <c r="V41" i="1"/>
  <c r="Z40" i="1"/>
  <c r="R37" i="1"/>
  <c r="V36" i="1"/>
  <c r="Z35" i="1"/>
  <c r="R47" i="1"/>
  <c r="U57" i="1"/>
  <c r="Y56" i="1"/>
  <c r="U52" i="1"/>
  <c r="Y50" i="1"/>
  <c r="U41" i="1"/>
  <c r="Y40" i="1"/>
  <c r="U36" i="1"/>
  <c r="Y35" i="1"/>
  <c r="X52" i="1"/>
  <c r="T49" i="1"/>
  <c r="X37" i="1"/>
  <c r="T34" i="1"/>
  <c r="U44" i="1"/>
  <c r="Y32" i="1"/>
  <c r="W57" i="1"/>
  <c r="S54" i="1"/>
  <c r="W42" i="1"/>
  <c r="S39" i="1"/>
  <c r="W47" i="1"/>
  <c r="T46" i="1"/>
  <c r="X45" i="1"/>
  <c r="T31" i="1"/>
  <c r="X30" i="1"/>
  <c r="V29" i="1"/>
  <c r="X56" i="1"/>
  <c r="X29" i="1"/>
  <c r="V30" i="1"/>
  <c r="Z44" i="1"/>
  <c r="R46" i="1"/>
  <c r="S42" i="1"/>
  <c r="W51" i="1"/>
  <c r="S44" i="1"/>
  <c r="T37" i="1"/>
  <c r="X41" i="1"/>
  <c r="V31" i="1"/>
  <c r="Z45" i="1"/>
  <c r="S50" i="1"/>
  <c r="W54" i="1"/>
  <c r="S29" i="1"/>
  <c r="S32" i="1"/>
  <c r="W46" i="1"/>
  <c r="T35" i="1"/>
  <c r="X39" i="1"/>
  <c r="S57" i="1"/>
  <c r="V14" i="1"/>
  <c r="Y10" i="1"/>
  <c r="T15" i="1"/>
  <c r="X12" i="1"/>
  <c r="R14" i="1"/>
  <c r="X10" i="1"/>
  <c r="X14" i="1"/>
  <c r="S12" i="1"/>
  <c r="W16" i="1"/>
  <c r="Z11" i="1"/>
  <c r="S10" i="1"/>
  <c r="W14" i="1"/>
  <c r="R12" i="1"/>
  <c r="V16" i="1"/>
  <c r="Z25" i="2"/>
  <c r="Z12" i="2"/>
  <c r="R51" i="1"/>
  <c r="Z39" i="1"/>
  <c r="V35" i="1"/>
  <c r="Y42" i="1"/>
  <c r="U39" i="1"/>
  <c r="Y47" i="1"/>
  <c r="X42" i="1"/>
  <c r="T39" i="1"/>
  <c r="U46" i="1"/>
  <c r="Y30" i="1"/>
  <c r="U29" i="1"/>
  <c r="W37" i="1"/>
  <c r="S34" i="1"/>
  <c r="T44" i="1"/>
  <c r="T57" i="1"/>
  <c r="S47" i="1"/>
  <c r="T29" i="1"/>
  <c r="R32" i="1"/>
  <c r="V46" i="1"/>
  <c r="W39" i="1"/>
  <c r="X54" i="1"/>
  <c r="R11" i="1"/>
  <c r="Y11" i="1"/>
  <c r="T16" i="1"/>
  <c r="T11" i="1"/>
  <c r="S11" i="1"/>
  <c r="Z12" i="1"/>
  <c r="AA97" i="2"/>
  <c r="Z17" i="2"/>
  <c r="Z56" i="1"/>
  <c r="Z50" i="1"/>
  <c r="Z34" i="1"/>
  <c r="U56" i="1"/>
  <c r="Y49" i="1"/>
  <c r="U40" i="1"/>
  <c r="Y34" i="1"/>
  <c r="X50" i="1"/>
  <c r="T41" i="1"/>
  <c r="Y31" i="1"/>
  <c r="W40" i="1"/>
  <c r="S36" i="1"/>
  <c r="T45" i="1"/>
  <c r="W29" i="1"/>
  <c r="S46" i="1"/>
  <c r="X51" i="1"/>
  <c r="R30" i="1"/>
  <c r="V44" i="1"/>
  <c r="W34" i="1"/>
  <c r="S55" i="1"/>
  <c r="S45" i="1"/>
  <c r="X49" i="1"/>
  <c r="Y14" i="1"/>
  <c r="T12" i="1"/>
  <c r="U12" i="1"/>
  <c r="T14" i="1"/>
  <c r="R10" i="1"/>
  <c r="Y16" i="1"/>
  <c r="S14" i="1"/>
  <c r="Z15" i="1"/>
  <c r="X88" i="2"/>
  <c r="S56" i="2"/>
  <c r="S71" i="2" s="1"/>
  <c r="AA12" i="2"/>
  <c r="R41" i="1"/>
  <c r="Y55" i="1"/>
  <c r="U49" i="1"/>
  <c r="Y37" i="1"/>
  <c r="U34" i="1"/>
  <c r="X57" i="1"/>
  <c r="T54" i="1"/>
  <c r="X47" i="1"/>
  <c r="Y45" i="1"/>
  <c r="U31" i="1"/>
  <c r="W52" i="1"/>
  <c r="S49" i="1"/>
  <c r="X32" i="1"/>
  <c r="R31" i="1"/>
  <c r="V45" i="1"/>
  <c r="W36" i="1"/>
  <c r="W32" i="1"/>
  <c r="T52" i="1"/>
  <c r="Z30" i="1"/>
  <c r="S35" i="1"/>
  <c r="W31" i="1"/>
  <c r="T50" i="1"/>
  <c r="Z10" i="1"/>
  <c r="U16" i="1"/>
  <c r="U14" i="1"/>
  <c r="V10" i="1"/>
  <c r="W15" i="1"/>
  <c r="W18" i="1" s="1"/>
  <c r="Z14" i="1"/>
  <c r="V15" i="1"/>
  <c r="R16" i="1"/>
  <c r="R18" i="1" s="1"/>
  <c r="T10" i="1"/>
  <c r="T40" i="1"/>
  <c r="W56" i="1"/>
  <c r="W30" i="1"/>
  <c r="V32" i="1"/>
  <c r="Y46" i="1"/>
  <c r="U50" i="1"/>
  <c r="U60" i="1" s="1"/>
  <c r="R36" i="1"/>
  <c r="X15" i="2"/>
  <c r="U93" i="2"/>
  <c r="S16" i="1"/>
  <c r="V11" i="1"/>
  <c r="U10" i="1"/>
  <c r="T42" i="1"/>
  <c r="S52" i="1"/>
  <c r="S62" i="1" s="1"/>
  <c r="X44" i="1"/>
  <c r="X35" i="1"/>
  <c r="T56" i="1"/>
  <c r="Y39" i="1"/>
  <c r="Y51" i="1"/>
  <c r="V40" i="1"/>
  <c r="U96" i="2"/>
  <c r="Y100" i="2"/>
  <c r="V17" i="2"/>
  <c r="X26" i="2"/>
  <c r="T23" i="2"/>
  <c r="U22" i="2"/>
  <c r="Y52" i="2"/>
  <c r="Y67" i="2" s="1"/>
  <c r="U98" i="2"/>
  <c r="Y102" i="2"/>
  <c r="U108" i="2"/>
  <c r="U113" i="2"/>
  <c r="Y17" i="2"/>
  <c r="U62" i="2"/>
  <c r="U77" i="2" s="1"/>
  <c r="S51" i="2"/>
  <c r="S66" i="2" s="1"/>
  <c r="Y88" i="2"/>
  <c r="Y93" i="2"/>
  <c r="U100" i="2"/>
  <c r="U105" i="2"/>
  <c r="U110" i="2"/>
  <c r="U56" i="2"/>
  <c r="U71" i="2" s="1"/>
  <c r="X55" i="2"/>
  <c r="X70" i="2" s="1"/>
  <c r="AA53" i="2"/>
  <c r="AA68" i="2" s="1"/>
  <c r="Y51" i="2"/>
  <c r="Y66" i="2" s="1"/>
  <c r="T90" i="2"/>
  <c r="T96" i="2"/>
  <c r="X100" i="2"/>
  <c r="T106" i="2"/>
  <c r="X110" i="2"/>
  <c r="V88" i="2"/>
  <c r="V95" i="2"/>
  <c r="Z98" i="2"/>
  <c r="V111" i="2"/>
  <c r="Z113" i="2"/>
  <c r="AA57" i="2"/>
  <c r="AA72" i="2" s="1"/>
  <c r="T53" i="2"/>
  <c r="T68" i="2" s="1"/>
  <c r="W87" i="2"/>
  <c r="AA91" i="2"/>
  <c r="S100" i="2"/>
  <c r="W103" i="2"/>
  <c r="AA107" i="2"/>
  <c r="BS17" i="2"/>
  <c r="AZ9" i="1"/>
  <c r="Y87" i="2"/>
  <c r="Y16" i="2"/>
  <c r="U13" i="2"/>
  <c r="U17" i="2"/>
  <c r="U25" i="2"/>
  <c r="U26" i="2"/>
  <c r="U23" i="2"/>
  <c r="Y27" i="2"/>
  <c r="AA60" i="2"/>
  <c r="AA75" i="2" s="1"/>
  <c r="U85" i="2"/>
  <c r="U90" i="2"/>
  <c r="Y61" i="2"/>
  <c r="Y76" i="2" s="1"/>
  <c r="T86" i="2"/>
  <c r="X90" i="2"/>
  <c r="T92" i="2"/>
  <c r="X96" i="2"/>
  <c r="T102" i="2"/>
  <c r="X106" i="2"/>
  <c r="T112" i="2"/>
  <c r="V85" i="2"/>
  <c r="Z88" i="2"/>
  <c r="Z95" i="2"/>
  <c r="V101" i="2"/>
  <c r="V106" i="2"/>
  <c r="Z108" i="2"/>
  <c r="Z111" i="2"/>
  <c r="W92" i="2"/>
  <c r="AA96" i="2"/>
  <c r="S108" i="2"/>
  <c r="AW12" i="1"/>
  <c r="AC28" i="16"/>
  <c r="Z28" i="16"/>
  <c r="Z27" i="16"/>
  <c r="AA28" i="16"/>
  <c r="X30" i="16"/>
  <c r="AA27" i="16"/>
  <c r="X28" i="16"/>
  <c r="AD28" i="16"/>
  <c r="AA30" i="16"/>
  <c r="X31" i="16"/>
  <c r="AE28" i="16"/>
  <c r="AB30" i="16"/>
  <c r="Y31" i="16"/>
  <c r="AE27" i="16"/>
  <c r="AB28" i="16"/>
  <c r="Y30" i="16"/>
  <c r="AB27" i="16"/>
  <c r="AA31" i="16"/>
  <c r="AF26" i="16"/>
  <c r="S92" i="2"/>
  <c r="AE30" i="16"/>
  <c r="AB31" i="16"/>
  <c r="Y32" i="16"/>
  <c r="AF30" i="16"/>
  <c r="AC31" i="16"/>
  <c r="Z32" i="16"/>
  <c r="AF28" i="16"/>
  <c r="AC30" i="16"/>
  <c r="Z31" i="16"/>
  <c r="AF27" i="16"/>
  <c r="X32" i="16"/>
  <c r="Y26" i="16"/>
  <c r="AC32" i="16"/>
  <c r="AE31" i="16"/>
  <c r="Y27" i="16"/>
  <c r="Z26" i="16"/>
  <c r="BA12" i="1"/>
  <c r="AW10" i="1"/>
  <c r="AW11" i="1"/>
  <c r="BA9" i="1"/>
  <c r="BQ18" i="2"/>
  <c r="BQ9" i="2"/>
  <c r="AX11" i="1"/>
  <c r="BP18" i="2"/>
  <c r="BR9" i="2"/>
  <c r="BD11" i="1"/>
  <c r="BP17" i="2"/>
  <c r="BR10" i="2"/>
  <c r="BB9" i="1"/>
  <c r="AY12" i="1"/>
  <c r="AY11" i="1"/>
  <c r="BC9" i="1"/>
  <c r="BO18" i="2"/>
  <c r="BS9" i="2"/>
  <c r="BD10" i="1"/>
  <c r="BL18" i="2"/>
  <c r="BT10" i="2"/>
  <c r="W113" i="2"/>
  <c r="AA112" i="2"/>
  <c r="AD32" i="16"/>
  <c r="AA32" i="16"/>
  <c r="X27" i="16"/>
  <c r="AD27" i="16"/>
  <c r="AB32" i="16"/>
  <c r="AC26" i="16"/>
  <c r="AC27" i="16"/>
  <c r="AD26" i="16"/>
  <c r="Z30" i="16"/>
  <c r="BA10" i="1"/>
  <c r="AW9" i="1"/>
  <c r="BM10" i="2"/>
  <c r="BM9" i="2"/>
  <c r="BN17" i="2"/>
  <c r="AX12" i="1"/>
  <c r="AZ11" i="1"/>
  <c r="BD9" i="1"/>
  <c r="BN18" i="2"/>
  <c r="BL17" i="2"/>
  <c r="AV10" i="1"/>
  <c r="BC12" i="1"/>
  <c r="AY10" i="1"/>
  <c r="AY9" i="1"/>
  <c r="BS18" i="2"/>
  <c r="BO9" i="2"/>
  <c r="BR17" i="2"/>
  <c r="S113" i="2"/>
  <c r="W112" i="2"/>
  <c r="AA111" i="2"/>
  <c r="AD31" i="16"/>
  <c r="AD30" i="16"/>
  <c r="AE26" i="16"/>
  <c r="Y28" i="16"/>
  <c r="BM18" i="2"/>
  <c r="BB10" i="1"/>
  <c r="AV9" i="1"/>
  <c r="BT17" i="2"/>
  <c r="BN10" i="2"/>
  <c r="AV12" i="1"/>
  <c r="BT18" i="2"/>
  <c r="BC11" i="1"/>
  <c r="BO17" i="2"/>
  <c r="BS10" i="2"/>
  <c r="S112" i="2"/>
  <c r="AA110" i="2"/>
  <c r="S107" i="2"/>
  <c r="W106" i="2"/>
  <c r="AA105" i="2"/>
  <c r="S102" i="2"/>
  <c r="W101" i="2"/>
  <c r="AA100" i="2"/>
  <c r="S97" i="2"/>
  <c r="W96" i="2"/>
  <c r="AA95" i="2"/>
  <c r="S91" i="2"/>
  <c r="W90" i="2"/>
  <c r="AA88" i="2"/>
  <c r="S86" i="2"/>
  <c r="W85" i="2"/>
  <c r="U50" i="2"/>
  <c r="U65" i="2" s="1"/>
  <c r="Z51" i="2"/>
  <c r="Z66" i="2" s="1"/>
  <c r="AA52" i="2"/>
  <c r="AA67" i="2" s="1"/>
  <c r="X53" i="2"/>
  <c r="X68" i="2" s="1"/>
  <c r="U55" i="2"/>
  <c r="U70" i="2" s="1"/>
  <c r="Z56" i="2"/>
  <c r="Z71" i="2" s="1"/>
  <c r="W57" i="2"/>
  <c r="W72" i="2" s="1"/>
  <c r="AE32" i="16"/>
  <c r="X26" i="16"/>
  <c r="BQ17" i="2"/>
  <c r="BQ10" i="2"/>
  <c r="BD12" i="1"/>
  <c r="BB12" i="1"/>
  <c r="AV11" i="1"/>
  <c r="BT9" i="2"/>
  <c r="BB11" i="1"/>
  <c r="BP10" i="2"/>
  <c r="AX9" i="1"/>
  <c r="AA113" i="2"/>
  <c r="W110" i="2"/>
  <c r="AA108" i="2"/>
  <c r="S106" i="2"/>
  <c r="W105" i="2"/>
  <c r="AA103" i="2"/>
  <c r="S101" i="2"/>
  <c r="W100" i="2"/>
  <c r="AA98" i="2"/>
  <c r="S96" i="2"/>
  <c r="W95" i="2"/>
  <c r="AA93" i="2"/>
  <c r="S90" i="2"/>
  <c r="W88" i="2"/>
  <c r="AA87" i="2"/>
  <c r="S85" i="2"/>
  <c r="W52" i="2"/>
  <c r="W67" i="2" s="1"/>
  <c r="V113" i="2"/>
  <c r="Z112" i="2"/>
  <c r="V108" i="2"/>
  <c r="Z107" i="2"/>
  <c r="V103" i="2"/>
  <c r="Z102" i="2"/>
  <c r="BA11" i="1"/>
  <c r="BM17" i="2"/>
  <c r="AZ10" i="1"/>
  <c r="BP9" i="2"/>
  <c r="BN9" i="2"/>
  <c r="W107" i="2"/>
  <c r="S103" i="2"/>
  <c r="AA101" i="2"/>
  <c r="W97" i="2"/>
  <c r="S93" i="2"/>
  <c r="W91" i="2"/>
  <c r="S87" i="2"/>
  <c r="AA85" i="2"/>
  <c r="T58" i="2"/>
  <c r="T73" i="2" s="1"/>
  <c r="V98" i="2"/>
  <c r="Z97" i="2"/>
  <c r="V93" i="2"/>
  <c r="Z92" i="2"/>
  <c r="V87" i="2"/>
  <c r="Z86" i="2"/>
  <c r="X113" i="2"/>
  <c r="T110" i="2"/>
  <c r="X108" i="2"/>
  <c r="T105" i="2"/>
  <c r="X103" i="2"/>
  <c r="T100" i="2"/>
  <c r="X98" i="2"/>
  <c r="T95" i="2"/>
  <c r="X93" i="2"/>
  <c r="T88" i="2"/>
  <c r="X87" i="2"/>
  <c r="Z52" i="2"/>
  <c r="Z67" i="2" s="1"/>
  <c r="Y98" i="2"/>
  <c r="U95" i="2"/>
  <c r="AA51" i="2"/>
  <c r="AA66" i="2" s="1"/>
  <c r="Z55" i="2"/>
  <c r="Z70" i="2" s="1"/>
  <c r="W56" i="2"/>
  <c r="W71" i="2" s="1"/>
  <c r="T57" i="2"/>
  <c r="T72" i="2" s="1"/>
  <c r="V60" i="2"/>
  <c r="V75" i="2" s="1"/>
  <c r="X61" i="2"/>
  <c r="X76" i="2" s="1"/>
  <c r="Y62" i="2"/>
  <c r="Y77" i="2" s="1"/>
  <c r="V63" i="2"/>
  <c r="V78" i="2" s="1"/>
  <c r="T22" i="2"/>
  <c r="U27" i="2"/>
  <c r="Y23" i="2"/>
  <c r="T21" i="2"/>
  <c r="Y13" i="2"/>
  <c r="U16" i="2"/>
  <c r="Y107" i="2"/>
  <c r="U103" i="2"/>
  <c r="AF31" i="16"/>
  <c r="AB26" i="16"/>
  <c r="AF32" i="16"/>
  <c r="AX10" i="1"/>
  <c r="BR18" i="2"/>
  <c r="BO10" i="2"/>
  <c r="W111" i="2"/>
  <c r="W108" i="2"/>
  <c r="S105" i="2"/>
  <c r="AA102" i="2"/>
  <c r="W98" i="2"/>
  <c r="S95" i="2"/>
  <c r="AA92" i="2"/>
  <c r="S88" i="2"/>
  <c r="AA86" i="2"/>
  <c r="Y50" i="2"/>
  <c r="Y65" i="2" s="1"/>
  <c r="V51" i="2"/>
  <c r="V66" i="2" s="1"/>
  <c r="S52" i="2"/>
  <c r="S67" i="2" s="1"/>
  <c r="Y55" i="2"/>
  <c r="Y70" i="2" s="1"/>
  <c r="V56" i="2"/>
  <c r="V71" i="2" s="1"/>
  <c r="S57" i="2"/>
  <c r="S72" i="2" s="1"/>
  <c r="X58" i="2"/>
  <c r="X73" i="2" s="1"/>
  <c r="Z106" i="2"/>
  <c r="Z105" i="2"/>
  <c r="Z103" i="2"/>
  <c r="V102" i="2"/>
  <c r="Z101" i="2"/>
  <c r="V97" i="2"/>
  <c r="Z96" i="2"/>
  <c r="V92" i="2"/>
  <c r="V91" i="2"/>
  <c r="Z90" i="2"/>
  <c r="V86" i="2"/>
  <c r="Z85" i="2"/>
  <c r="V50" i="2"/>
  <c r="V65" i="2" s="1"/>
  <c r="T113" i="2"/>
  <c r="X112" i="2"/>
  <c r="T108" i="2"/>
  <c r="X107" i="2"/>
  <c r="T103" i="2"/>
  <c r="X102" i="2"/>
  <c r="T98" i="2"/>
  <c r="X97" i="2"/>
  <c r="T93" i="2"/>
  <c r="X92" i="2"/>
  <c r="T87" i="2"/>
  <c r="X86" i="2"/>
  <c r="X50" i="2"/>
  <c r="X65" i="2" s="1"/>
  <c r="U51" i="2"/>
  <c r="U66" i="2" s="1"/>
  <c r="V52" i="2"/>
  <c r="V67" i="2" s="1"/>
  <c r="W53" i="2"/>
  <c r="W68" i="2" s="1"/>
  <c r="T55" i="2"/>
  <c r="T70" i="2" s="1"/>
  <c r="Y56" i="2"/>
  <c r="Y71" i="2" s="1"/>
  <c r="V57" i="2"/>
  <c r="V72" i="2" s="1"/>
  <c r="S58" i="2"/>
  <c r="S73" i="2" s="1"/>
  <c r="AA58" i="2"/>
  <c r="AA73" i="2" s="1"/>
  <c r="T60" i="2"/>
  <c r="T75" i="2" s="1"/>
  <c r="V29" i="2" l="1"/>
  <c r="Y61" i="1"/>
  <c r="AA61" i="1"/>
  <c r="V18" i="1"/>
  <c r="AA62" i="1"/>
  <c r="AB32" i="2"/>
  <c r="AB29" i="2"/>
  <c r="Y59" i="1"/>
  <c r="S32" i="2"/>
  <c r="W29" i="2"/>
  <c r="AB31" i="2"/>
  <c r="AB30" i="2"/>
  <c r="AA59" i="1"/>
  <c r="AA60" i="1"/>
  <c r="AA18" i="1"/>
  <c r="S59" i="1"/>
  <c r="U59" i="1"/>
  <c r="Y18" i="1"/>
  <c r="U29" i="2"/>
  <c r="X29" i="2"/>
  <c r="AA32" i="2"/>
  <c r="W62" i="1"/>
  <c r="R61" i="1"/>
  <c r="T60" i="1"/>
  <c r="Z18" i="1"/>
  <c r="X59" i="1"/>
  <c r="R59" i="1"/>
  <c r="V60" i="1"/>
  <c r="Z59" i="1"/>
  <c r="Z60" i="1"/>
  <c r="X18" i="1"/>
  <c r="S18" i="1"/>
  <c r="X60" i="1"/>
  <c r="Z32" i="2"/>
  <c r="X31" i="2"/>
  <c r="U62" i="1"/>
  <c r="X32" i="2"/>
  <c r="R60" i="1"/>
  <c r="W32" i="2"/>
  <c r="Y29" i="2"/>
  <c r="U18" i="1"/>
  <c r="Z29" i="2"/>
  <c r="AA29" i="2"/>
  <c r="S60" i="1"/>
  <c r="X62" i="1"/>
  <c r="Y60" i="1"/>
  <c r="Y62" i="1"/>
  <c r="V61" i="1"/>
  <c r="Z61" i="1"/>
  <c r="Z30" i="2"/>
  <c r="Z31" i="2"/>
  <c r="T32" i="2"/>
  <c r="V62" i="1"/>
  <c r="T62" i="1"/>
  <c r="X61" i="1"/>
  <c r="W30" i="2"/>
  <c r="W31" i="2"/>
  <c r="T61" i="1"/>
  <c r="R62" i="1"/>
  <c r="S29" i="2"/>
  <c r="T29" i="2"/>
  <c r="X30" i="2"/>
  <c r="T31" i="2"/>
  <c r="T30" i="2"/>
  <c r="T18" i="1"/>
  <c r="W61" i="1"/>
  <c r="T59" i="1"/>
  <c r="W59" i="1"/>
  <c r="U61" i="1"/>
  <c r="Z62" i="1"/>
  <c r="AA30" i="2"/>
  <c r="AA31" i="2"/>
  <c r="S31" i="2"/>
  <c r="S30" i="2"/>
  <c r="V31" i="2"/>
  <c r="U31" i="2"/>
  <c r="U30" i="2"/>
  <c r="U32" i="2"/>
  <c r="V32" i="2"/>
  <c r="V30" i="2"/>
  <c r="Y30" i="2"/>
  <c r="Y31" i="2"/>
  <c r="Y32" i="2"/>
</calcChain>
</file>

<file path=xl/sharedStrings.xml><?xml version="1.0" encoding="utf-8"?>
<sst xmlns="http://schemas.openxmlformats.org/spreadsheetml/2006/main" count="1627" uniqueCount="298">
  <si>
    <t>Total</t>
  </si>
  <si>
    <t>Sex</t>
  </si>
  <si>
    <t>All ethnicity</t>
  </si>
  <si>
    <t>Māori</t>
  </si>
  <si>
    <t>Non-Māori</t>
  </si>
  <si>
    <t>Female</t>
  </si>
  <si>
    <t>All ages</t>
  </si>
  <si>
    <t>sex</t>
  </si>
  <si>
    <t>ethmn</t>
  </si>
  <si>
    <t>year</t>
  </si>
  <si>
    <t>agegrpnewid</t>
  </si>
  <si>
    <t>num</t>
  </si>
  <si>
    <t>rate</t>
  </si>
  <si>
    <t>ci</t>
  </si>
  <si>
    <t>AllSex</t>
  </si>
  <si>
    <t>Maori</t>
  </si>
  <si>
    <t>Non-Maori</t>
  </si>
  <si>
    <t>Male</t>
  </si>
  <si>
    <t>Number</t>
  </si>
  <si>
    <t>Rate</t>
  </si>
  <si>
    <t>15-24</t>
  </si>
  <si>
    <t>25-44</t>
  </si>
  <si>
    <t>45-64</t>
  </si>
  <si>
    <t>65+</t>
  </si>
  <si>
    <t>AllEth</t>
  </si>
  <si>
    <t>combo</t>
  </si>
  <si>
    <t>agesextable</t>
  </si>
  <si>
    <t>Quintile 1</t>
  </si>
  <si>
    <t>Quintile 2</t>
  </si>
  <si>
    <t>Quintile 3</t>
  </si>
  <si>
    <t>Quintile 4</t>
  </si>
  <si>
    <t>Quintile 5</t>
  </si>
  <si>
    <t>25–44</t>
  </si>
  <si>
    <t>45–64</t>
  </si>
  <si>
    <t>Age (years)</t>
  </si>
  <si>
    <t>Firearms and explosives</t>
  </si>
  <si>
    <t>Hanging, strangulation and suffocation</t>
  </si>
  <si>
    <t>Jumping from a high place</t>
  </si>
  <si>
    <t>Other</t>
  </si>
  <si>
    <t>Poisoning by gases and vapours</t>
  </si>
  <si>
    <t>Poisoning by solids and liquids</t>
  </si>
  <si>
    <t>Sharp object</t>
  </si>
  <si>
    <t>Submersion (drowning)</t>
  </si>
  <si>
    <t>Northland</t>
  </si>
  <si>
    <t>Waitemata</t>
  </si>
  <si>
    <t>Auckland</t>
  </si>
  <si>
    <t>Counties Manukau</t>
  </si>
  <si>
    <t>Waikato</t>
  </si>
  <si>
    <t>Lakes</t>
  </si>
  <si>
    <t>Bay of Plenty</t>
  </si>
  <si>
    <t>Tairawhiti</t>
  </si>
  <si>
    <t>Hawke's Bay</t>
  </si>
  <si>
    <t>Taranaki</t>
  </si>
  <si>
    <t>MidCentral</t>
  </si>
  <si>
    <t>Whanganui</t>
  </si>
  <si>
    <t>Capital &amp; Coast</t>
  </si>
  <si>
    <t>Hutt Valley</t>
  </si>
  <si>
    <t>Wairarapa</t>
  </si>
  <si>
    <t>Nelson Marlborough</t>
  </si>
  <si>
    <t>West Coast</t>
  </si>
  <si>
    <t>Canterbury</t>
  </si>
  <si>
    <t>South Canterbury</t>
  </si>
  <si>
    <t>Southern</t>
  </si>
  <si>
    <t>New Zealand</t>
  </si>
  <si>
    <t>Unknown</t>
  </si>
  <si>
    <t>Asian</t>
  </si>
  <si>
    <t>Pacific</t>
  </si>
  <si>
    <t>Ethnicity</t>
  </si>
  <si>
    <t>Notes:</t>
  </si>
  <si>
    <t>Source: New Zealand Mortality Collection</t>
  </si>
  <si>
    <t>Rates are expressed per 100,000 population.</t>
  </si>
  <si>
    <t>Rates are expressed per 100,000 population and age standardised to the WHO World Standard Population.</t>
  </si>
  <si>
    <t xml:space="preserve"> </t>
  </si>
  <si>
    <t>Rate ratio</t>
  </si>
  <si>
    <t>10–14</t>
  </si>
  <si>
    <t>15–19</t>
  </si>
  <si>
    <t>20–24</t>
  </si>
  <si>
    <t>25–29</t>
  </si>
  <si>
    <t>30–34</t>
  </si>
  <si>
    <t>85+</t>
  </si>
  <si>
    <t>35–39</t>
  </si>
  <si>
    <t>40–44</t>
  </si>
  <si>
    <t>45–49</t>
  </si>
  <si>
    <t>50–54</t>
  </si>
  <si>
    <t>55–59</t>
  </si>
  <si>
    <t>60–64</t>
  </si>
  <si>
    <t>65–69</t>
  </si>
  <si>
    <t>70–74</t>
  </si>
  <si>
    <t>75–79</t>
  </si>
  <si>
    <t>80–84</t>
  </si>
  <si>
    <t>agegroups</t>
  </si>
  <si>
    <t>Māori : Non-Māori</t>
  </si>
  <si>
    <t>Male : Female</t>
  </si>
  <si>
    <t xml:space="preserve">All ages </t>
  </si>
  <si>
    <t xml:space="preserve">Notes: </t>
  </si>
  <si>
    <t>Source:</t>
  </si>
  <si>
    <t>New Zealand Mortality Collection</t>
  </si>
  <si>
    <t xml:space="preserve">Source: </t>
  </si>
  <si>
    <t>15–24</t>
  </si>
  <si>
    <t>CONTENTS</t>
  </si>
  <si>
    <t xml:space="preserve">In New Zealand, a death is only officially classified as suicide by the coroner on completion of the coroner’s </t>
  </si>
  <si>
    <t xml:space="preserve">inquiry. In some cases, an inquest may be heard several years after the death, particularly if there are </t>
  </si>
  <si>
    <t>factors relating to the death that need to be investigated first (for example, a death in custody). Consequently, a provisional suicide classification may be made before the coroner reaches a verdict.</t>
  </si>
  <si>
    <t>Data sources</t>
  </si>
  <si>
    <t>Comparisons with other statistical publications on suicide</t>
  </si>
  <si>
    <t>The Ministry reports on those deaths determined to be suicide after a completed coronial process or those provisionally coded as intentionally self-inflicted deaths before the final coroner’s verdict. Furthermore, the Chief Coroner’s data relates to years ending 30 June rather than the calendar years used in this report.</t>
  </si>
  <si>
    <t>The Office of the Director of Mental Health releases an annual report that contains some statistics on suicide that are not included in this report. For further details, see:</t>
  </si>
  <si>
    <t>Population denominators</t>
  </si>
  <si>
    <t>All data sets were supplied as customised extracts from Statistics New Zealand. Further information about methods used to prepare estimates, as well as their limitations, is available on the Statistics New Zealand website (www.stats.govt.nz).</t>
  </si>
  <si>
    <t>The estimated resident population for mean year ended 31 December was used for analyses by:</t>
  </si>
  <si>
    <t>·       age</t>
  </si>
  <si>
    <t>·       sex</t>
  </si>
  <si>
    <t>·       Māori and non-Māori.</t>
  </si>
  <si>
    <t>Category</t>
  </si>
  <si>
    <t>ICD-10-AM code</t>
  </si>
  <si>
    <t>ICD-10-AM code description</t>
  </si>
  <si>
    <t>X60</t>
  </si>
  <si>
    <t>Intentional self-poisoning by and exposure to nonopioid analgesics, antipyretics and antirheumatics</t>
  </si>
  <si>
    <t>X61</t>
  </si>
  <si>
    <t>Intentional self-poisoning by and exposure to antiepileptic, sedative-hypnotic, antiparkinsonism and psychotropic drugs, not elsewhere classified</t>
  </si>
  <si>
    <t>X62</t>
  </si>
  <si>
    <t>Intentional self-poisoning by and exposure to narcotics and psychodysleptics [hallucinogens], not elsewhere classified</t>
  </si>
  <si>
    <t>X63</t>
  </si>
  <si>
    <t>Intentional self-poisoning by and exposure to other drugs acting on the autonomic nervous system</t>
  </si>
  <si>
    <t>X64</t>
  </si>
  <si>
    <t>Intentional self-poisoning by and exposure to other and unspecified drugs, medicaments and biological substances</t>
  </si>
  <si>
    <t>X65</t>
  </si>
  <si>
    <t>Intentional self-poisoning by and exposure to alcohol</t>
  </si>
  <si>
    <t>X68</t>
  </si>
  <si>
    <t>Intentional self-poisoning by and exposure to pesticides</t>
  </si>
  <si>
    <t>X69</t>
  </si>
  <si>
    <t>Intentional self-poisoning by and exposure to other and unspecified chemicals and noxious substances</t>
  </si>
  <si>
    <t>X66</t>
  </si>
  <si>
    <t>Intentional self-poisoning by and exposure to organic solvents and halogenated hydrocarbons and their vapours</t>
  </si>
  <si>
    <t>X67</t>
  </si>
  <si>
    <t>Intentional self-poisoning by and exposure to other gases and vapours</t>
  </si>
  <si>
    <t>X70</t>
  </si>
  <si>
    <t>Intentional self-harm by hanging, strangulation and suffocation</t>
  </si>
  <si>
    <t>X71</t>
  </si>
  <si>
    <t>Intentional self-harm by drowning and submersion</t>
  </si>
  <si>
    <t>X72</t>
  </si>
  <si>
    <t>Intentional self-harm by handgun discharge</t>
  </si>
  <si>
    <t>X74</t>
  </si>
  <si>
    <t>Intentional self-harm by other and unspecified firearm discharge</t>
  </si>
  <si>
    <t>X75</t>
  </si>
  <si>
    <t>Intentional self-harm by explosive material</t>
  </si>
  <si>
    <t>X78</t>
  </si>
  <si>
    <t>Intentional self-harm by sharp object</t>
  </si>
  <si>
    <t>X80</t>
  </si>
  <si>
    <t>Intentional self-harm by jumping from a high place</t>
  </si>
  <si>
    <t>X76</t>
  </si>
  <si>
    <t>Intentional self-harm by smoke, fire and flames</t>
  </si>
  <si>
    <t>X77</t>
  </si>
  <si>
    <t>Intentional self-harm by steam, hot vapours and hot objects</t>
  </si>
  <si>
    <t>X79</t>
  </si>
  <si>
    <t>Intentional self-harm by blunt object</t>
  </si>
  <si>
    <t>X81</t>
  </si>
  <si>
    <t>Intentional self-harm by jumping or lying before moving object</t>
  </si>
  <si>
    <t>X82</t>
  </si>
  <si>
    <t>Intentional self-harm by crashing of motor vehicle</t>
  </si>
  <si>
    <t>X83</t>
  </si>
  <si>
    <t>Intentional self-harm by other specified means</t>
  </si>
  <si>
    <t>X84</t>
  </si>
  <si>
    <t>Intentional self-harm by unspecified means</t>
  </si>
  <si>
    <t>Age-specific rates</t>
  </si>
  <si>
    <t>Age-standardised rates and rate ratios</t>
  </si>
  <si>
    <t>Confidence intervals and statistical significance</t>
  </si>
  <si>
    <t>The rate ratio refers to the frequency with which these events are reported in one population group compared with other groups.</t>
  </si>
  <si>
    <t>Further information</t>
  </si>
  <si>
    <t>General information about suicide prevention</t>
  </si>
  <si>
    <t>For health data, including suicide statistics, contact:</t>
  </si>
  <si>
    <t>Analytical Services</t>
  </si>
  <si>
    <t>National Collections and Reporting</t>
  </si>
  <si>
    <t>Ministry of Health</t>
  </si>
  <si>
    <t>PO Box 5013</t>
  </si>
  <si>
    <t>Wellington</t>
  </si>
  <si>
    <t>Phone: (04) 496 2000</t>
  </si>
  <si>
    <t>Fax: (04) 816 2898</t>
  </si>
  <si>
    <t>Email: data-enquiries@moh.govt.nz</t>
  </si>
  <si>
    <t>Website: www.health.govt.nz</t>
  </si>
  <si>
    <t>https://www.health.govt.nz/our-work/mental-health-and-addictions/working-prevent-suicide</t>
  </si>
  <si>
    <t>ABOUT THESE TABLES</t>
  </si>
  <si>
    <t>Error bars represent 95% confidence intervals.</t>
  </si>
  <si>
    <t>Analysis</t>
  </si>
  <si>
    <t xml:space="preserve">Title: </t>
  </si>
  <si>
    <t>Summary:</t>
  </si>
  <si>
    <t>Series:</t>
  </si>
  <si>
    <t>Suicide Facts: Deaths and intentional self-harm hospitalisations</t>
  </si>
  <si>
    <t xml:space="preserve">Suicide data presented was extracted from the New Zealand Mortality Collection. </t>
  </si>
  <si>
    <t>Published:</t>
  </si>
  <si>
    <t>Additional information:</t>
  </si>
  <si>
    <t>Suicide Facts: Deaths and intentional self-harm hospitalisations - series</t>
  </si>
  <si>
    <t>Postal address:</t>
  </si>
  <si>
    <t>Wellington 6145</t>
  </si>
  <si>
    <t>Email:</t>
  </si>
  <si>
    <t>Phone:</t>
  </si>
  <si>
    <t>(04) 496 2000</t>
  </si>
  <si>
    <t xml:space="preserve">Fax: </t>
  </si>
  <si>
    <t>(04) 816 2898</t>
  </si>
  <si>
    <t>Description</t>
  </si>
  <si>
    <t>Tabs</t>
  </si>
  <si>
    <t>Intentional self-harm categories and ICD-10-AM codes</t>
  </si>
  <si>
    <t>Codes</t>
  </si>
  <si>
    <t>About</t>
  </si>
  <si>
    <t xml:space="preserve">Intentional self-harm categories and ICD-10-AM codes used in these tables are listed in this section. </t>
  </si>
  <si>
    <t xml:space="preserve">Data tabs </t>
  </si>
  <si>
    <t>Numbers that are similar across mulitple years may produce different rates due to changes in population size.</t>
  </si>
  <si>
    <t>CODES USED IN THESE TABLES</t>
  </si>
  <si>
    <t>SUICIDE RATES BY SEX AND LIFE-STAGE GROUP</t>
  </si>
  <si>
    <t>·</t>
  </si>
  <si>
    <t>Note: Rates are expressed per 100,000 population and age standardised to the WHO World Standard Population.</t>
  </si>
  <si>
    <t>Quick facts</t>
  </si>
  <si>
    <t>Māori Non-Māori</t>
  </si>
  <si>
    <t>Age Sex</t>
  </si>
  <si>
    <t xml:space="preserve">Time trend data is presented as numbers and rates in tables to the right of each sheet. 
</t>
  </si>
  <si>
    <t>Additional information</t>
  </si>
  <si>
    <t xml:space="preserve">Notes and definitions are provided to aid the interpretation of the data. </t>
  </si>
  <si>
    <t xml:space="preserve">Numbers of suicide deaths and rates of suicide are shown by sex and life-stage group. </t>
  </si>
  <si>
    <t xml:space="preserve">Interpretation </t>
  </si>
  <si>
    <t>Time trend graphs show rates of suicide by age, sex, and Māori and non-Māori.</t>
  </si>
  <si>
    <t>non-Māori</t>
  </si>
  <si>
    <t>Māori male : Māori female</t>
  </si>
  <si>
    <t>Māori male : Non-Māori male</t>
  </si>
  <si>
    <t>Māori female : Non-Māori female</t>
  </si>
  <si>
    <t>Notes: Rates are expressed per 100,000 population and age standardised to the WHO World Standard Population.</t>
  </si>
  <si>
    <t xml:space="preserve">SUICIDE RATES BY MĀORI / NON-MĀORI </t>
  </si>
  <si>
    <t>Back to Contents</t>
  </si>
  <si>
    <t>QUICK FACTS</t>
  </si>
  <si>
    <t>Male youth</t>
  </si>
  <si>
    <t>Female youth</t>
  </si>
  <si>
    <t>Male all ages</t>
  </si>
  <si>
    <t>Female all ages</t>
  </si>
  <si>
    <t>Extraction date:</t>
  </si>
  <si>
    <t>Rates are not calculated where a category has fewer than five suicide deaths. Calculating rates of suicide from fewer than five suicide deaths produces unstable rates.</t>
  </si>
  <si>
    <t xml:space="preserve">Age-specific suicide rates for Māori and non-Māori youth (aged 15–24 years), </t>
  </si>
  <si>
    <t>To find out more about suicide and suicide prevention see the Ministry of Health’s suicide prevention webpage:</t>
  </si>
  <si>
    <t>Classification of a suicide</t>
  </si>
  <si>
    <t>For some groups, where suicide numbers are very small, rates can fluctuate greatly between years and are unreliable. These rates are not suitable to be used in statistical comparisons as they can lead to misleading conclusions. For this reason rates are not calculated where a category has fewer than five suicide deaths per year.</t>
  </si>
  <si>
    <t xml:space="preserve">For this reason rates are not calculated where a category has fewer than five suicide deaths per year. </t>
  </si>
  <si>
    <t xml:space="preserve">For some groups, where suicide numbers are very small, rates can fluctuate greatly between years and are not reliable. These rates are not suitable to be used in statistical comparisons as they can lead to misleading conclusions. </t>
  </si>
  <si>
    <r>
      <t>An</t>
    </r>
    <r>
      <rPr>
        <i/>
        <sz val="9"/>
        <color theme="1"/>
        <rFont val="Arial"/>
        <family val="2"/>
      </rPr>
      <t xml:space="preserve"> </t>
    </r>
    <r>
      <rPr>
        <sz val="9"/>
        <color theme="1"/>
        <rFont val="Arial"/>
        <family val="2"/>
      </rPr>
      <t>age-standardised rate is a rate that has been adjusted to take account of differences in the age distribution of the population over time or between different groups (for example, different ethnic groups). An age-standardised rate ratio is the ratio of two groups’ rates, taking into account differences in the groups’ size and age structure. The standard population used in these tables is the WHO World Population.</t>
    </r>
  </si>
  <si>
    <t>The standard population used in this report is the WHO World Population.</t>
  </si>
  <si>
    <t>Source: National Casemix and Classification Centre, 2013</t>
  </si>
  <si>
    <t>upp</t>
  </si>
  <si>
    <t>low</t>
  </si>
  <si>
    <t>Age-standardised suicide rates for Māori and non-Māori, 2007–2016</t>
  </si>
  <si>
    <t>Age-standardised suicide rates for Māori and non-Māori, by sex,  2007–2016</t>
  </si>
  <si>
    <t>by sex,  2007–2016</t>
  </si>
  <si>
    <t>Age-specific suicide rates for Māori and non-Māori, by life-stage group,  2007–2016</t>
  </si>
  <si>
    <t>Age-standardised suicide rates by sex, 2007–2016</t>
  </si>
  <si>
    <t>Age-specific suicide rates by life-stage group,  2007–2016</t>
  </si>
  <si>
    <t>Age-specific suicide rates by life-stage group, by sex,  2007–2016</t>
  </si>
  <si>
    <t>The rates of suicide are presented by sex and life-stage group from 2007–2016. 
Numbers of suicide deaths and rate ratios are also presented in the table.</t>
  </si>
  <si>
    <t>Numbers of suicide deaths and age-standardised suicide rates for Māori and non-Māori, by sex,  2007–2016</t>
  </si>
  <si>
    <r>
      <t>These tables use prioritised ethnicity, by which each person represented in the data is allocated to a single ethnic group using the priority system M</t>
    </r>
    <r>
      <rPr>
        <sz val="9"/>
        <rFont val="Arial"/>
        <family val="2"/>
      </rPr>
      <t>āori &gt; Non-Māori.  Unknow ethnicity is assigned non-Māori.</t>
    </r>
  </si>
  <si>
    <t>Number and age-standardised rate of suicide deaths, 2007–2016</t>
  </si>
  <si>
    <t>Numbers of suicide deaths and age-standardised suicide rates by sex, 2007–2016</t>
  </si>
  <si>
    <t>Quick facts contains a high level snapshot of suicide deaths in New Zealand for 2016 and over the 10-year period 2007–2016.</t>
  </si>
  <si>
    <t>In these tables, we extracted data on suicides between 2007 and 2016 and recalculated the rates for all years to reflect ongoing updates to data in the New Zealand Mortality Collection (eg, following the release of coroners' findings) and the revision of population estimates following each census. As a result there may be small changes to some numbers and rates from those in previous publications.</t>
  </si>
  <si>
    <t>Data is presented for a 10-year period (2007–2016).</t>
  </si>
  <si>
    <t>Numbers of suicide deaths and rates of suicide are shown for Māori and non-Māori by sex and life-stage group.</t>
  </si>
  <si>
    <t>A snapshot of 2016 (provisional data)</t>
  </si>
  <si>
    <t>Data for 2016 is provisional</t>
  </si>
  <si>
    <t>28 March 2019</t>
  </si>
  <si>
    <t>Number of suicide deaths: 553</t>
  </si>
  <si>
    <t>Rate of suicide:  11.3 per 100,000 population</t>
  </si>
  <si>
    <t>Rate of male suicide deaths: 17.0 per 100,000 males</t>
  </si>
  <si>
    <t>Rate of female suicide deaths: 5.8 per 100,000 females</t>
  </si>
  <si>
    <t xml:space="preserve">Rate of non-Māori suicide deaths: 9.5 per 100,000 non-Māori </t>
  </si>
  <si>
    <t>Rate of Māori suicide deaths: 20.3 per 100,000 Māori</t>
  </si>
  <si>
    <t>Rate of male Māori suicide deaths: 31.7 Māori males</t>
  </si>
  <si>
    <t>Rate of female Māori suicide deaths: 10.1  Māori females</t>
  </si>
  <si>
    <t xml:space="preserve">In this section the rates of suicide for Māori and non-Māori are presented by sex and life-stage group.
Rates are not calculated where a category has fewer than five suicide deaths. Calculating rates of 
suicide from fewer than five suicide deaths produces unstable rates.
Numbers of suicide deaths and rate ratios are also presented in the table.  
</t>
  </si>
  <si>
    <t>Numbers of suicide deaths and age-specific suicide rates by sex and life-stage group, 2007–2016</t>
  </si>
  <si>
    <t xml:space="preserve">The confidence intervals in these tables have been calculated for age-standardised rates at the 95% level. If two confidence intervals do not overlap, there is considered to be a statistically significant difference between the two groups being compared. </t>
  </si>
  <si>
    <t>Information about reporting of suicide data in New Zealand can be downloaded from this webpage</t>
  </si>
  <si>
    <t>https://www.health.govt.nz/our-work/mental-health-and-addictions/working-prevent-suicide/understanding-suicide-new-zealand</t>
  </si>
  <si>
    <t xml:space="preserve">In New Zealand, a death is only officially classified as suicide by the coroner on completion of the coroner’s inquiry and, in some cases, there may be a significant delay in the time taken for the inquiry to be heard. Consequently, a provisional suicide classification may be made before the coroner has reached a finding. The Ministry of Health publishes the number of suicides that have been confirmed by the coroner and also those provisionally coded as suicide where there is enough information to suggest the coroner will find the cause of death to be suicide. Further information about reporting of suicide data in New Zealand can be found via the link on the Suicide 2016 webpage.
These tables present time trend data for key demographics from 2007–2016.  Data is provisional for 2016.  Both numbers and rates for this data are available in tables to the right of the graphs. In these tables, we extracted data on suicides between 2007 and 2016 and recalculated the rates for all years to reflect ongoing updates to data in the New Zealand Mortality Collection (for example, following the release of coroners' findings) and the revision of population estimates following each census. As a result there may be small changes to some numbers and rates from those in previous publications.
</t>
  </si>
  <si>
    <r>
      <t xml:space="preserve">All New Zealand suicide data in these tables was extracted from the Ministry of Health’s Mortality Collection (MORT) on </t>
    </r>
    <r>
      <rPr>
        <sz val="9"/>
        <rFont val="Arial"/>
        <family val="2"/>
      </rPr>
      <t>28 March 2019</t>
    </r>
    <r>
      <rPr>
        <sz val="9"/>
        <color rgb="FFFF0000"/>
        <rFont val="Arial"/>
        <family val="2"/>
      </rPr>
      <t>.</t>
    </r>
    <r>
      <rPr>
        <sz val="9"/>
        <color theme="1"/>
        <rFont val="Arial"/>
        <family val="2"/>
      </rPr>
      <t xml:space="preserve"> 
</t>
    </r>
  </si>
  <si>
    <t>An age-specific rate measures the frequency with which an event occurs relative to the number of people in a defined age group. In these tables, age-specific rates are given for life-stage age groups.</t>
  </si>
  <si>
    <t>Back to top</t>
  </si>
  <si>
    <t>See below for contact details:</t>
  </si>
  <si>
    <t xml:space="preserve">If you require information not included in this file, the Ministry of Health is able to provide customised data extracts tailored to your needs. These may incur a charge (at Official </t>
  </si>
  <si>
    <t>Information Act rates).</t>
  </si>
  <si>
    <t>Numbers of suicide deaths and age-specific suicide rates for Māori and non-Māori, by sex and life-stage group,  2007–2016</t>
  </si>
  <si>
    <t>Data and Digital</t>
  </si>
  <si>
    <t>Numbers that are similar across multiple years may produce different rates due to changes in population size.</t>
  </si>
  <si>
    <t>https://www.health.govt.nz/publication/office-director-mental-health-and-addiction-services-annual-report-2017</t>
  </si>
  <si>
    <t xml:space="preserve">Data for 2016 is provisional. Suicide data is predominantly presented over a 10-year period from 2007 to 2016. </t>
  </si>
  <si>
    <t>The number of suicide deaths in these tables differs from the number released by the Chief Coroner. The Chief Coroner’s data includes all deaths initially identified at the coroner’s office as self-inflicted. However, only those deaths determined as ‘intentionally self-inflicted’ after investigation will receive a final verdict of suicide. Some deaths provisionally coded as suicide may be determined not to be suicide at a later date. In addition, when the coroner does not specify whether a self-inflicted poisoning was accidental or intentional self-harm, the World Health Organization's ICD-10 coding rules require the cause of death to be coded as accidental poisoning (not poisoning of undetermined intent). This rule could lead to an overstatement of accidental poisonings and an understatement of deaths from undetermined intent.</t>
  </si>
  <si>
    <t xml:space="preserve">Notes: 
</t>
  </si>
  <si>
    <t xml:space="preserve">The number of suicide deaths refers to the number of people who have died by suicide. The life-stage group '0–14 years' is not reported in this publication  as children are not at risk of suicide for some ages in this group. </t>
  </si>
  <si>
    <t>Data excludes eight suicides among those aged 0–14 years. 
Rates are expressed per 100,000 population.</t>
  </si>
  <si>
    <t>Source:  New Zealand Mortality Collection</t>
  </si>
  <si>
    <t>Rates are not shown for Māori aged 65+ years or where a category has fewer than five suicide deaths as the number of suicide deaths was too small to produce stable rates.</t>
  </si>
  <si>
    <t>10 July 2019</t>
  </si>
  <si>
    <t>Suicide Facts: 2016 data (provisional)</t>
  </si>
  <si>
    <t>data-enquiries@health.govt.nz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</si>
</sst>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0"/>
      <color theme="1"/>
      <name val="Arial"/>
      <family val="2"/>
    </font>
    <font>
      <b/>
      <sz val="10"/>
      <color theme="1"/>
      <name val="Arial"/>
      <family val="2"/>
    </font>
    <font>
      <u/>
      <sz val="10"/>
      <color theme="10"/>
      <name val="Arial"/>
      <family val="2"/>
    </font>
    <font>
      <sz val="11"/>
      <color theme="1"/>
      <name val="Arial"/>
      <family val="2"/>
    </font>
    <font>
      <sz val="10"/>
      <color theme="0" tint="-0.499984740745262"/>
      <name val="Arial"/>
      <family val="2"/>
    </font>
    <font>
      <sz val="10"/>
      <name val="Arial"/>
      <family val="2"/>
    </font>
    <font>
      <sz val="9"/>
      <name val="Arial"/>
      <family val="2"/>
    </font>
    <font>
      <b/>
      <sz val="9"/>
      <name val="Arial"/>
      <family val="2"/>
    </font>
    <font>
      <b/>
      <sz val="10"/>
      <name val="Arial"/>
      <family val="2"/>
    </font>
    <font>
      <b/>
      <sz val="11"/>
      <name val="Arial"/>
      <family val="2"/>
    </font>
    <font>
      <b/>
      <sz val="9"/>
      <color theme="1"/>
      <name val="Arial"/>
      <family val="2"/>
    </font>
    <font>
      <sz val="9"/>
      <color theme="1"/>
      <name val="Arial"/>
      <family val="2"/>
    </font>
    <font>
      <b/>
      <sz val="12"/>
      <color theme="1"/>
      <name val="Arial"/>
      <family val="2"/>
    </font>
    <font>
      <b/>
      <sz val="11"/>
      <color theme="1"/>
      <name val="Arial"/>
      <family val="2"/>
    </font>
    <font>
      <sz val="8"/>
      <color theme="1"/>
      <name val="Arial"/>
      <family val="2"/>
    </font>
    <font>
      <sz val="8"/>
      <name val="Arial"/>
      <family val="2"/>
    </font>
    <font>
      <sz val="10"/>
      <color rgb="FFFF0000"/>
      <name val="Arial"/>
      <family val="2"/>
    </font>
    <font>
      <sz val="9"/>
      <color rgb="FFFF0000"/>
      <name val="Arial"/>
      <family val="2"/>
    </font>
    <font>
      <b/>
      <sz val="20"/>
      <color theme="1"/>
      <name val="Arial"/>
      <family val="2"/>
    </font>
    <font>
      <b/>
      <sz val="18"/>
      <color theme="1"/>
      <name val="Arial"/>
      <family val="2"/>
    </font>
    <font>
      <b/>
      <sz val="18"/>
      <name val="Arial"/>
      <family val="2"/>
    </font>
    <font>
      <sz val="10"/>
      <color theme="1"/>
      <name val="Arial"/>
      <family val="2"/>
    </font>
    <font>
      <sz val="11"/>
      <color theme="1"/>
      <name val="Georgia"/>
      <family val="1"/>
    </font>
    <font>
      <i/>
      <sz val="9"/>
      <color theme="1"/>
      <name val="Arial"/>
      <family val="2"/>
    </font>
    <font>
      <sz val="10"/>
      <name val="Arial Narrow"/>
      <family val="2"/>
    </font>
    <font>
      <sz val="11"/>
      <color theme="1"/>
      <name val="Calibri"/>
      <family val="2"/>
      <scheme val="minor"/>
    </font>
    <font>
      <sz val="10"/>
      <color theme="1"/>
      <name val="Symbol"/>
      <family val="1"/>
      <charset val="2"/>
    </font>
    <font>
      <u/>
      <sz val="9"/>
      <color theme="10"/>
      <name val="Arial"/>
      <family val="2"/>
    </font>
    <font>
      <sz val="11"/>
      <color rgb="FFFF0000"/>
      <name val="Arial"/>
      <family val="2"/>
    </font>
    <font>
      <sz val="11"/>
      <name val="Arial"/>
      <family val="2"/>
    </font>
    <font>
      <sz val="10"/>
      <color theme="0" tint="-0.14999847407452621"/>
      <name val="Arial"/>
      <family val="2"/>
    </font>
    <font>
      <b/>
      <sz val="10"/>
      <color theme="0" tint="-0.14999847407452621"/>
      <name val="Arial"/>
      <family val="2"/>
    </font>
    <font>
      <b/>
      <sz val="9"/>
      <color theme="0" tint="-0.14999847407452621"/>
      <name val="Arial"/>
      <family val="2"/>
    </font>
    <font>
      <sz val="9"/>
      <color theme="0" tint="-0.14999847407452621"/>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theme="0" tint="-4.9989318521683403E-2"/>
        <bgColor indexed="64"/>
      </patternFill>
    </fill>
    <fill>
      <patternFill patternType="solid">
        <fgColor rgb="FFE6E6E6"/>
        <bgColor indexed="64"/>
      </patternFill>
    </fill>
  </fills>
  <borders count="12">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theme="1"/>
      </right>
      <top/>
      <bottom/>
      <diagonal/>
    </border>
  </borders>
  <cellStyleXfs count="9">
    <xf numFmtId="0" fontId="0" fillId="0" borderId="0"/>
    <xf numFmtId="0" fontId="2" fillId="0" borderId="0" applyNumberFormat="0" applyFill="0" applyBorder="0" applyAlignment="0" applyProtection="0"/>
    <xf numFmtId="0" fontId="21" fillId="0" borderId="0"/>
    <xf numFmtId="0" fontId="24" fillId="0" borderId="0"/>
    <xf numFmtId="0" fontId="25" fillId="0" borderId="0"/>
    <xf numFmtId="0" fontId="21" fillId="0" borderId="0"/>
    <xf numFmtId="0" fontId="21" fillId="0" borderId="0"/>
    <xf numFmtId="0" fontId="21" fillId="0" borderId="0"/>
    <xf numFmtId="0" fontId="21" fillId="0" borderId="0"/>
  </cellStyleXfs>
  <cellXfs count="323">
    <xf numFmtId="0" fontId="0" fillId="0" borderId="0" xfId="0"/>
    <xf numFmtId="0" fontId="0" fillId="0" borderId="0" xfId="0" applyFill="1" applyBorder="1"/>
    <xf numFmtId="0" fontId="0" fillId="0" borderId="0" xfId="0" applyFont="1" applyAlignment="1">
      <alignment horizontal="left"/>
    </xf>
    <xf numFmtId="0" fontId="3" fillId="0" borderId="0" xfId="0" applyFont="1" applyAlignment="1">
      <alignment horizontal="left"/>
    </xf>
    <xf numFmtId="0" fontId="0" fillId="0" borderId="0" xfId="0" applyFont="1" applyFill="1" applyBorder="1" applyAlignment="1">
      <alignment horizontal="left"/>
    </xf>
    <xf numFmtId="0" fontId="0" fillId="0" borderId="0" xfId="0" applyFill="1"/>
    <xf numFmtId="0" fontId="4" fillId="0" borderId="0" xfId="0" applyFont="1" applyFill="1"/>
    <xf numFmtId="0" fontId="4" fillId="0" borderId="0" xfId="0" applyFont="1" applyFill="1" applyBorder="1"/>
    <xf numFmtId="0" fontId="5" fillId="2" borderId="0" xfId="0" applyFont="1" applyFill="1" applyBorder="1"/>
    <xf numFmtId="0" fontId="5" fillId="2" borderId="0" xfId="0" applyFont="1" applyFill="1"/>
    <xf numFmtId="0" fontId="6" fillId="2" borderId="0" xfId="0" applyFont="1" applyFill="1"/>
    <xf numFmtId="0" fontId="6" fillId="2" borderId="0" xfId="0" applyFont="1" applyFill="1" applyBorder="1"/>
    <xf numFmtId="0" fontId="0" fillId="2" borderId="0" xfId="0" applyFill="1"/>
    <xf numFmtId="0" fontId="7" fillId="2" borderId="0" xfId="0" applyFont="1" applyFill="1" applyBorder="1"/>
    <xf numFmtId="164" fontId="6" fillId="2" borderId="0" xfId="0" applyNumberFormat="1" applyFont="1" applyFill="1" applyBorder="1"/>
    <xf numFmtId="0" fontId="5" fillId="2" borderId="1" xfId="0" applyFont="1" applyFill="1" applyBorder="1"/>
    <xf numFmtId="0" fontId="6" fillId="2" borderId="1" xfId="0" applyFont="1" applyFill="1" applyBorder="1"/>
    <xf numFmtId="0" fontId="6" fillId="2" borderId="0" xfId="0" applyFont="1" applyFill="1" applyAlignment="1">
      <alignment horizontal="left"/>
    </xf>
    <xf numFmtId="0" fontId="6" fillId="2" borderId="0" xfId="0" applyFont="1" applyFill="1" applyBorder="1" applyAlignment="1">
      <alignment horizontal="left"/>
    </xf>
    <xf numFmtId="0" fontId="0" fillId="2" borderId="1" xfId="0" applyFill="1" applyBorder="1"/>
    <xf numFmtId="0" fontId="10" fillId="2" borderId="0" xfId="0" applyFont="1" applyFill="1"/>
    <xf numFmtId="0" fontId="1" fillId="2" borderId="0" xfId="0" applyFont="1" applyFill="1"/>
    <xf numFmtId="0" fontId="11" fillId="2" borderId="0" xfId="0" applyFont="1" applyFill="1"/>
    <xf numFmtId="0" fontId="11" fillId="2" borderId="0" xfId="0" applyFont="1" applyFill="1" applyAlignment="1">
      <alignment horizontal="left"/>
    </xf>
    <xf numFmtId="0" fontId="11" fillId="2" borderId="1" xfId="0" applyFont="1" applyFill="1" applyBorder="1"/>
    <xf numFmtId="0" fontId="11" fillId="2" borderId="1" xfId="0" applyFont="1" applyFill="1" applyBorder="1" applyAlignment="1">
      <alignment horizontal="left"/>
    </xf>
    <xf numFmtId="0" fontId="11" fillId="2" borderId="0" xfId="0" applyFont="1" applyFill="1" applyBorder="1"/>
    <xf numFmtId="0" fontId="11" fillId="2" borderId="0" xfId="0" applyFont="1" applyFill="1" applyBorder="1" applyAlignment="1">
      <alignment horizontal="left"/>
    </xf>
    <xf numFmtId="164" fontId="11" fillId="2" borderId="0" xfId="0" applyNumberFormat="1" applyFont="1" applyFill="1" applyBorder="1"/>
    <xf numFmtId="0" fontId="0" fillId="2" borderId="0" xfId="0" applyFill="1" applyBorder="1"/>
    <xf numFmtId="0" fontId="10" fillId="2" borderId="0" xfId="0" applyFont="1" applyFill="1" applyBorder="1"/>
    <xf numFmtId="0" fontId="0" fillId="2" borderId="0" xfId="0" applyFill="1" applyAlignment="1">
      <alignment horizontal="right"/>
    </xf>
    <xf numFmtId="164" fontId="11" fillId="2" borderId="1" xfId="0" applyNumberFormat="1" applyFont="1" applyFill="1" applyBorder="1" applyAlignment="1">
      <alignment horizontal="right"/>
    </xf>
    <xf numFmtId="0" fontId="12" fillId="2" borderId="0" xfId="0" applyFont="1" applyFill="1"/>
    <xf numFmtId="0" fontId="0" fillId="2" borderId="1" xfId="0" applyFill="1" applyBorder="1" applyAlignment="1">
      <alignment horizontal="right"/>
    </xf>
    <xf numFmtId="0" fontId="0" fillId="2" borderId="0" xfId="0" applyFill="1" applyAlignment="1">
      <alignment horizontal="left"/>
    </xf>
    <xf numFmtId="164" fontId="11" fillId="2" borderId="0" xfId="0" applyNumberFormat="1" applyFont="1" applyFill="1" applyBorder="1" applyAlignment="1">
      <alignment horizontal="right"/>
    </xf>
    <xf numFmtId="0" fontId="11" fillId="2" borderId="0" xfId="0" applyFont="1" applyFill="1" applyAlignment="1">
      <alignment horizontal="right"/>
    </xf>
    <xf numFmtId="0" fontId="10" fillId="2" borderId="0" xfId="0" applyFont="1" applyFill="1" applyAlignment="1">
      <alignment horizontal="right"/>
    </xf>
    <xf numFmtId="0" fontId="14" fillId="2" borderId="0" xfId="0" applyFont="1" applyFill="1"/>
    <xf numFmtId="0" fontId="15" fillId="2" borderId="0" xfId="0" applyFont="1" applyFill="1"/>
    <xf numFmtId="0" fontId="5" fillId="0" borderId="0" xfId="0" applyFont="1" applyFill="1"/>
    <xf numFmtId="0" fontId="5" fillId="0" borderId="0" xfId="0" applyFont="1" applyFill="1" applyBorder="1"/>
    <xf numFmtId="0" fontId="15" fillId="0" borderId="0" xfId="0" applyFont="1" applyFill="1"/>
    <xf numFmtId="0" fontId="6" fillId="0" borderId="0" xfId="0" applyFont="1" applyFill="1"/>
    <xf numFmtId="0" fontId="6" fillId="0" borderId="0" xfId="0" applyFont="1" applyFill="1" applyBorder="1"/>
    <xf numFmtId="0" fontId="17" fillId="2" borderId="0" xfId="0" applyFont="1" applyFill="1"/>
    <xf numFmtId="0" fontId="16" fillId="2" borderId="0" xfId="0" applyFont="1" applyFill="1"/>
    <xf numFmtId="2" fontId="17" fillId="2" borderId="0" xfId="0" applyNumberFormat="1" applyFont="1" applyFill="1" applyBorder="1"/>
    <xf numFmtId="0" fontId="16" fillId="2" borderId="0" xfId="0" applyFont="1" applyFill="1" applyBorder="1"/>
    <xf numFmtId="0" fontId="6" fillId="2" borderId="0" xfId="0" applyFont="1" applyFill="1" applyBorder="1" applyAlignment="1">
      <alignment horizontal="left" vertical="center" indent="1"/>
    </xf>
    <xf numFmtId="0" fontId="0" fillId="3" borderId="0" xfId="0" applyFill="1"/>
    <xf numFmtId="0" fontId="0" fillId="3" borderId="0" xfId="0" applyFill="1" applyBorder="1"/>
    <xf numFmtId="0" fontId="1" fillId="3" borderId="0" xfId="0" applyFont="1" applyFill="1"/>
    <xf numFmtId="0" fontId="5" fillId="3" borderId="0" xfId="0" applyFont="1" applyFill="1"/>
    <xf numFmtId="0" fontId="15" fillId="3" borderId="0" xfId="0" applyFont="1" applyFill="1"/>
    <xf numFmtId="0" fontId="5" fillId="3" borderId="0" xfId="0" applyFont="1" applyFill="1" applyBorder="1"/>
    <xf numFmtId="0" fontId="0" fillId="3" borderId="3" xfId="0" applyFill="1" applyBorder="1"/>
    <xf numFmtId="0" fontId="0" fillId="3" borderId="6" xfId="0" applyFill="1" applyBorder="1"/>
    <xf numFmtId="0" fontId="14" fillId="3" borderId="0" xfId="0" applyFont="1" applyFill="1"/>
    <xf numFmtId="0" fontId="6" fillId="3" borderId="0" xfId="0" applyFont="1" applyFill="1"/>
    <xf numFmtId="0" fontId="6" fillId="3" borderId="0" xfId="0" applyFont="1" applyFill="1" applyBorder="1"/>
    <xf numFmtId="0" fontId="6" fillId="2" borderId="0" xfId="0" applyFont="1" applyFill="1" applyBorder="1" applyAlignment="1">
      <alignment horizontal="left" vertical="center"/>
    </xf>
    <xf numFmtId="0" fontId="18" fillId="2" borderId="0" xfId="0" applyFont="1" applyFill="1"/>
    <xf numFmtId="0" fontId="0" fillId="3" borderId="4" xfId="0" applyFill="1" applyBorder="1"/>
    <xf numFmtId="0" fontId="3" fillId="3" borderId="0" xfId="0" applyFont="1" applyFill="1" applyBorder="1"/>
    <xf numFmtId="0" fontId="9" fillId="3" borderId="0" xfId="0" applyFont="1" applyFill="1"/>
    <xf numFmtId="0" fontId="13" fillId="3" borderId="0" xfId="0" applyFont="1" applyFill="1"/>
    <xf numFmtId="0" fontId="9" fillId="0" borderId="0" xfId="0" applyFont="1" applyFill="1"/>
    <xf numFmtId="0" fontId="6" fillId="3" borderId="0" xfId="0" applyFont="1" applyFill="1" applyBorder="1" applyAlignment="1">
      <alignment horizontal="left" indent="1"/>
    </xf>
    <xf numFmtId="0" fontId="0" fillId="2" borderId="0" xfId="0" applyFill="1" applyAlignment="1">
      <alignment wrapText="1"/>
    </xf>
    <xf numFmtId="0" fontId="0" fillId="0" borderId="0" xfId="0" applyAlignment="1"/>
    <xf numFmtId="0" fontId="11" fillId="2" borderId="0" xfId="0" applyFont="1" applyFill="1" applyAlignment="1"/>
    <xf numFmtId="0" fontId="11" fillId="3" borderId="0" xfId="0" applyFont="1" applyFill="1"/>
    <xf numFmtId="0" fontId="11" fillId="3" borderId="0" xfId="0" applyFont="1" applyFill="1" applyAlignment="1">
      <alignment wrapText="1"/>
    </xf>
    <xf numFmtId="0" fontId="6" fillId="3" borderId="0" xfId="0" applyFont="1" applyFill="1" applyAlignment="1">
      <alignment horizontal="left" indent="1"/>
    </xf>
    <xf numFmtId="0" fontId="2" fillId="3" borderId="0" xfId="1" applyFill="1"/>
    <xf numFmtId="0" fontId="0" fillId="3" borderId="0" xfId="0" applyFill="1" applyBorder="1" applyAlignment="1">
      <alignment wrapText="1"/>
    </xf>
    <xf numFmtId="0" fontId="10" fillId="3" borderId="0" xfId="0" applyFont="1" applyFill="1" applyBorder="1"/>
    <xf numFmtId="0" fontId="10" fillId="3" borderId="0" xfId="0" applyFont="1" applyFill="1"/>
    <xf numFmtId="0" fontId="20" fillId="2" borderId="0" xfId="0" applyFont="1" applyFill="1"/>
    <xf numFmtId="0" fontId="19" fillId="2" borderId="0" xfId="0" applyFont="1" applyFill="1"/>
    <xf numFmtId="0" fontId="0" fillId="2" borderId="0" xfId="0" applyFont="1" applyFill="1" applyAlignment="1">
      <alignment wrapText="1"/>
    </xf>
    <xf numFmtId="0" fontId="6" fillId="2" borderId="0" xfId="0" applyFont="1" applyFill="1" applyBorder="1" applyAlignment="1">
      <alignment horizontal="right"/>
    </xf>
    <xf numFmtId="164" fontId="6" fillId="2" borderId="0" xfId="0" applyNumberFormat="1" applyFont="1" applyFill="1" applyBorder="1" applyAlignment="1">
      <alignment horizontal="right"/>
    </xf>
    <xf numFmtId="0" fontId="11" fillId="2" borderId="0" xfId="0" applyFont="1" applyFill="1" applyBorder="1" applyAlignment="1">
      <alignment horizontal="right"/>
    </xf>
    <xf numFmtId="0" fontId="10" fillId="2" borderId="0" xfId="0" applyFont="1" applyFill="1" applyAlignment="1">
      <alignment horizontal="left"/>
    </xf>
    <xf numFmtId="0" fontId="0" fillId="2" borderId="0" xfId="0" applyFill="1" applyBorder="1" applyAlignment="1">
      <alignment horizontal="left"/>
    </xf>
    <xf numFmtId="0" fontId="11" fillId="2" borderId="1" xfId="0" applyFont="1" applyFill="1" applyBorder="1" applyAlignment="1">
      <alignment horizontal="right"/>
    </xf>
    <xf numFmtId="0" fontId="0" fillId="2" borderId="0" xfId="0" applyFill="1" applyBorder="1" applyAlignment="1">
      <alignment horizontal="right"/>
    </xf>
    <xf numFmtId="0" fontId="2" fillId="2" borderId="0" xfId="1" applyFill="1"/>
    <xf numFmtId="0" fontId="13" fillId="2" borderId="0" xfId="0" applyFont="1" applyFill="1"/>
    <xf numFmtId="0" fontId="0" fillId="3" borderId="0" xfId="0" applyFont="1" applyFill="1" applyAlignment="1">
      <alignment wrapText="1"/>
    </xf>
    <xf numFmtId="0" fontId="14" fillId="2" borderId="0" xfId="0" applyFont="1" applyFill="1" applyBorder="1"/>
    <xf numFmtId="0" fontId="1" fillId="2" borderId="0" xfId="0" applyFont="1" applyFill="1" applyBorder="1" applyAlignment="1">
      <alignment horizontal="left"/>
    </xf>
    <xf numFmtId="0" fontId="0" fillId="3" borderId="0" xfId="0" applyFill="1" applyAlignment="1">
      <alignment wrapText="1"/>
    </xf>
    <xf numFmtId="0" fontId="22" fillId="3" borderId="0" xfId="0" applyFont="1" applyFill="1" applyAlignment="1">
      <alignment vertical="center" wrapText="1"/>
    </xf>
    <xf numFmtId="0" fontId="0" fillId="3" borderId="0" xfId="0" applyFill="1" applyAlignment="1">
      <alignment vertical="top"/>
    </xf>
    <xf numFmtId="0" fontId="11" fillId="3" borderId="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vertical="center" wrapText="1"/>
    </xf>
    <xf numFmtId="0" fontId="11" fillId="3" borderId="1"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1" fillId="3" borderId="0" xfId="0" applyFont="1" applyFill="1" applyBorder="1" applyAlignment="1">
      <alignment wrapText="1"/>
    </xf>
    <xf numFmtId="0" fontId="11" fillId="3" borderId="0" xfId="0" applyFont="1" applyFill="1" applyAlignment="1">
      <alignment horizontal="left"/>
    </xf>
    <xf numFmtId="0" fontId="11" fillId="3" borderId="0" xfId="0" applyFont="1" applyFill="1" applyAlignment="1">
      <alignment vertical="top" wrapText="1"/>
    </xf>
    <xf numFmtId="0" fontId="2" fillId="3" borderId="0" xfId="1" applyFill="1" applyAlignment="1">
      <alignment vertical="top" wrapText="1"/>
    </xf>
    <xf numFmtId="0" fontId="7" fillId="2" borderId="0" xfId="0" applyFont="1" applyFill="1" applyAlignment="1">
      <alignment horizontal="left"/>
    </xf>
    <xf numFmtId="164" fontId="10" fillId="2" borderId="0" xfId="0" applyNumberFormat="1" applyFont="1" applyFill="1" applyBorder="1" applyAlignment="1">
      <alignment horizontal="left"/>
    </xf>
    <xf numFmtId="164" fontId="11" fillId="2" borderId="0" xfId="0" applyNumberFormat="1" applyFont="1" applyFill="1" applyBorder="1" applyAlignment="1">
      <alignment horizontal="left"/>
    </xf>
    <xf numFmtId="0" fontId="10" fillId="2" borderId="0" xfId="0" applyFont="1" applyFill="1" applyBorder="1" applyAlignment="1">
      <alignment horizontal="left"/>
    </xf>
    <xf numFmtId="0" fontId="17" fillId="2" borderId="0" xfId="0" applyFont="1" applyFill="1" applyAlignment="1">
      <alignment horizontal="right"/>
    </xf>
    <xf numFmtId="0" fontId="13" fillId="0" borderId="0" xfId="0" applyFont="1" applyFill="1"/>
    <xf numFmtId="0" fontId="1" fillId="3" borderId="0" xfId="0" applyFont="1" applyFill="1" applyAlignment="1">
      <alignment vertical="top"/>
    </xf>
    <xf numFmtId="0" fontId="19" fillId="2" borderId="0" xfId="0" applyFont="1" applyFill="1" applyAlignment="1">
      <alignment horizontal="left"/>
    </xf>
    <xf numFmtId="0" fontId="0" fillId="2" borderId="0" xfId="0" applyFill="1" applyAlignment="1">
      <alignment vertical="top"/>
    </xf>
    <xf numFmtId="0" fontId="10" fillId="3" borderId="0" xfId="0" applyFont="1" applyFill="1" applyAlignment="1">
      <alignment vertical="top" wrapText="1"/>
    </xf>
    <xf numFmtId="0" fontId="0" fillId="4" borderId="0" xfId="0" applyFill="1"/>
    <xf numFmtId="0" fontId="1" fillId="4" borderId="0" xfId="0" applyFont="1" applyFill="1"/>
    <xf numFmtId="0" fontId="0" fillId="4" borderId="0" xfId="0" applyFill="1" applyBorder="1"/>
    <xf numFmtId="0" fontId="14" fillId="4" borderId="0" xfId="0" applyFont="1" applyFill="1"/>
    <xf numFmtId="0" fontId="14" fillId="2" borderId="0" xfId="0" applyFont="1" applyFill="1" applyAlignment="1">
      <alignment horizontal="left"/>
    </xf>
    <xf numFmtId="0" fontId="0" fillId="4" borderId="0" xfId="0" applyFill="1" applyAlignment="1"/>
    <xf numFmtId="0" fontId="8" fillId="2" borderId="0" xfId="0" applyFont="1" applyFill="1" applyBorder="1"/>
    <xf numFmtId="0" fontId="11" fillId="2" borderId="0" xfId="0" applyFont="1" applyFill="1" applyAlignment="1">
      <alignment vertical="top"/>
    </xf>
    <xf numFmtId="0" fontId="11" fillId="2" borderId="0" xfId="0" applyFont="1" applyFill="1" applyAlignment="1">
      <alignment horizontal="left" vertical="top"/>
    </xf>
    <xf numFmtId="0" fontId="11" fillId="2" borderId="1" xfId="0" applyFont="1" applyFill="1" applyBorder="1" applyAlignment="1">
      <alignment vertical="top"/>
    </xf>
    <xf numFmtId="0" fontId="11" fillId="2" borderId="1" xfId="0" applyFont="1" applyFill="1" applyBorder="1" applyAlignment="1">
      <alignment horizontal="left" vertical="top"/>
    </xf>
    <xf numFmtId="0" fontId="11" fillId="2" borderId="0" xfId="0" applyFont="1" applyFill="1" applyBorder="1" applyAlignment="1">
      <alignment vertical="top"/>
    </xf>
    <xf numFmtId="0" fontId="13" fillId="2" borderId="0" xfId="0" applyFont="1" applyFill="1" applyBorder="1" applyAlignment="1">
      <alignment horizontal="left"/>
    </xf>
    <xf numFmtId="0" fontId="14" fillId="2" borderId="0" xfId="0" applyFont="1" applyFill="1" applyBorder="1" applyAlignment="1">
      <alignment horizontal="left"/>
    </xf>
    <xf numFmtId="0" fontId="3" fillId="4" borderId="0" xfId="0" applyFont="1" applyFill="1" applyBorder="1" applyAlignment="1">
      <alignment vertical="top"/>
    </xf>
    <xf numFmtId="0" fontId="0" fillId="4" borderId="0" xfId="0" applyFill="1" applyBorder="1" applyAlignment="1">
      <alignment vertical="top"/>
    </xf>
    <xf numFmtId="0" fontId="0" fillId="4" borderId="0" xfId="0" applyFill="1" applyAlignment="1">
      <alignment horizontal="left"/>
    </xf>
    <xf numFmtId="0" fontId="3" fillId="4" borderId="0" xfId="0" applyFont="1" applyFill="1" applyBorder="1" applyAlignment="1">
      <alignment vertical="top" wrapText="1"/>
    </xf>
    <xf numFmtId="0" fontId="0" fillId="4" borderId="0" xfId="0" applyFill="1" applyBorder="1" applyAlignment="1"/>
    <xf numFmtId="0" fontId="13" fillId="3" borderId="0" xfId="0" applyFont="1" applyFill="1" applyBorder="1" applyAlignment="1">
      <alignment vertical="center"/>
    </xf>
    <xf numFmtId="0" fontId="3" fillId="4" borderId="0" xfId="0" applyFont="1" applyFill="1" applyBorder="1" applyAlignment="1"/>
    <xf numFmtId="0" fontId="3" fillId="3" borderId="0" xfId="0" applyFont="1" applyFill="1" applyBorder="1" applyAlignment="1"/>
    <xf numFmtId="0" fontId="14" fillId="2" borderId="2" xfId="0" applyFont="1" applyFill="1" applyBorder="1" applyAlignment="1">
      <alignment horizontal="left"/>
    </xf>
    <xf numFmtId="0" fontId="11" fillId="2" borderId="2" xfId="0" applyFont="1" applyFill="1" applyBorder="1" applyAlignment="1">
      <alignment horizontal="right"/>
    </xf>
    <xf numFmtId="0" fontId="5" fillId="4" borderId="0" xfId="0" applyFont="1" applyFill="1"/>
    <xf numFmtId="0" fontId="0" fillId="3" borderId="0" xfId="0" applyFill="1" applyAlignment="1">
      <alignment vertical="top" wrapText="1"/>
    </xf>
    <xf numFmtId="0" fontId="14" fillId="4" borderId="0" xfId="0" applyFont="1" applyFill="1" applyAlignment="1">
      <alignment horizontal="left"/>
    </xf>
    <xf numFmtId="0" fontId="11" fillId="4" borderId="1" xfId="0" applyFont="1" applyFill="1" applyBorder="1" applyAlignment="1">
      <alignment horizontal="left"/>
    </xf>
    <xf numFmtId="0" fontId="0" fillId="4" borderId="0" xfId="0" applyFill="1" applyAlignment="1">
      <alignment vertical="top"/>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11" fillId="4" borderId="0" xfId="0" applyFont="1" applyFill="1"/>
    <xf numFmtId="0" fontId="11" fillId="4" borderId="0" xfId="0" applyFont="1" applyFill="1" applyAlignment="1">
      <alignment horizontal="center" vertical="center"/>
    </xf>
    <xf numFmtId="0" fontId="14" fillId="4" borderId="0" xfId="0" applyFont="1" applyFill="1" applyAlignment="1">
      <alignment horizontal="center" vertical="center"/>
    </xf>
    <xf numFmtId="0" fontId="1" fillId="2" borderId="0" xfId="0" applyFont="1" applyFill="1" applyBorder="1"/>
    <xf numFmtId="164" fontId="0" fillId="2" borderId="0" xfId="0" applyNumberFormat="1" applyFill="1" applyBorder="1" applyAlignment="1">
      <alignment horizontal="left"/>
    </xf>
    <xf numFmtId="164" fontId="11" fillId="2" borderId="0" xfId="0" quotePrefix="1" applyNumberFormat="1" applyFont="1" applyFill="1" applyBorder="1"/>
    <xf numFmtId="1" fontId="6" fillId="2" borderId="0" xfId="0" applyNumberFormat="1" applyFont="1" applyFill="1" applyBorder="1" applyAlignment="1">
      <alignment horizontal="right"/>
    </xf>
    <xf numFmtId="0" fontId="13" fillId="2" borderId="0" xfId="0" applyFont="1" applyFill="1" applyAlignment="1">
      <alignment horizontal="left"/>
    </xf>
    <xf numFmtId="164" fontId="11" fillId="4" borderId="0" xfId="0" applyNumberFormat="1" applyFont="1" applyFill="1" applyBorder="1" applyAlignment="1">
      <alignment horizontal="right"/>
    </xf>
    <xf numFmtId="164" fontId="6" fillId="4" borderId="0" xfId="0" applyNumberFormat="1" applyFont="1" applyFill="1" applyBorder="1" applyAlignment="1">
      <alignment horizontal="right"/>
    </xf>
    <xf numFmtId="0" fontId="15" fillId="4" borderId="0" xfId="0" applyFont="1" applyFill="1"/>
    <xf numFmtId="0" fontId="5" fillId="4" borderId="0" xfId="0" applyFont="1" applyFill="1" applyBorder="1"/>
    <xf numFmtId="0" fontId="13" fillId="4" borderId="0" xfId="0" applyFont="1" applyFill="1" applyAlignment="1">
      <alignment horizontal="left" vertical="top" wrapText="1"/>
    </xf>
    <xf numFmtId="164" fontId="6" fillId="2" borderId="0" xfId="0" applyNumberFormat="1" applyFont="1" applyFill="1" applyBorder="1" applyAlignment="1">
      <alignment horizontal="left"/>
    </xf>
    <xf numFmtId="164" fontId="7" fillId="2" borderId="0" xfId="0" applyNumberFormat="1" applyFont="1" applyFill="1" applyBorder="1" applyAlignment="1">
      <alignment horizontal="left"/>
    </xf>
    <xf numFmtId="1" fontId="7" fillId="2" borderId="0" xfId="0" applyNumberFormat="1" applyFont="1" applyFill="1" applyBorder="1" applyAlignment="1">
      <alignment horizontal="right"/>
    </xf>
    <xf numFmtId="1" fontId="7" fillId="2" borderId="0" xfId="0" applyNumberFormat="1" applyFont="1" applyFill="1" applyBorder="1"/>
    <xf numFmtId="0" fontId="14" fillId="4" borderId="0" xfId="0" applyFont="1" applyFill="1" applyAlignment="1">
      <alignment wrapText="1"/>
    </xf>
    <xf numFmtId="0" fontId="14" fillId="3" borderId="0" xfId="0" applyFont="1" applyFill="1" applyBorder="1"/>
    <xf numFmtId="0" fontId="11" fillId="4" borderId="1" xfId="0" applyFont="1" applyFill="1" applyBorder="1"/>
    <xf numFmtId="0" fontId="15" fillId="4" borderId="0" xfId="0" applyFont="1" applyFill="1" applyAlignment="1">
      <alignment horizontal="left"/>
    </xf>
    <xf numFmtId="0" fontId="0" fillId="4" borderId="0" xfId="0" applyFill="1" applyAlignment="1">
      <alignment vertical="top" wrapText="1"/>
    </xf>
    <xf numFmtId="0" fontId="2" fillId="3" borderId="0" xfId="1" applyFill="1" applyAlignment="1">
      <alignment vertical="top"/>
    </xf>
    <xf numFmtId="0" fontId="0" fillId="3" borderId="1" xfId="0" applyFill="1" applyBorder="1" applyAlignment="1">
      <alignment vertical="top" wrapText="1"/>
    </xf>
    <xf numFmtId="0" fontId="0" fillId="3" borderId="0" xfId="0" applyFill="1" applyBorder="1" applyAlignment="1">
      <alignment vertical="top" wrapText="1"/>
    </xf>
    <xf numFmtId="0" fontId="13" fillId="3" borderId="2" xfId="0" applyFont="1" applyFill="1" applyBorder="1" applyAlignment="1">
      <alignment vertical="top"/>
    </xf>
    <xf numFmtId="0" fontId="13" fillId="3" borderId="2" xfId="0" applyFont="1" applyFill="1" applyBorder="1" applyAlignment="1">
      <alignment vertical="top" wrapText="1"/>
    </xf>
    <xf numFmtId="0" fontId="0" fillId="3" borderId="1" xfId="0" applyFill="1" applyBorder="1" applyAlignment="1">
      <alignment vertical="top"/>
    </xf>
    <xf numFmtId="0" fontId="19" fillId="4" borderId="0" xfId="0" applyFont="1" applyFill="1" applyAlignment="1">
      <alignment vertical="top"/>
    </xf>
    <xf numFmtId="0" fontId="0" fillId="3" borderId="0" xfId="0" applyFill="1" applyBorder="1" applyAlignment="1">
      <alignment vertical="top"/>
    </xf>
    <xf numFmtId="0" fontId="0" fillId="5" borderId="0" xfId="0" applyFill="1" applyAlignment="1">
      <alignment vertical="top" wrapText="1"/>
    </xf>
    <xf numFmtId="0" fontId="0" fillId="5" borderId="1" xfId="0" applyFill="1" applyBorder="1" applyAlignment="1">
      <alignment vertical="top" wrapText="1"/>
    </xf>
    <xf numFmtId="0" fontId="1" fillId="5" borderId="0" xfId="0" applyFont="1" applyFill="1" applyAlignment="1">
      <alignment vertical="top" wrapText="1"/>
    </xf>
    <xf numFmtId="0" fontId="13" fillId="5" borderId="0" xfId="0" applyFont="1" applyFill="1" applyAlignment="1">
      <alignment vertical="top"/>
    </xf>
    <xf numFmtId="0" fontId="13" fillId="5" borderId="1" xfId="0" applyFont="1" applyFill="1" applyBorder="1" applyAlignment="1">
      <alignment vertical="top" wrapText="1"/>
    </xf>
    <xf numFmtId="0" fontId="13" fillId="5" borderId="1" xfId="0" applyFont="1" applyFill="1" applyBorder="1" applyAlignment="1">
      <alignment vertical="top"/>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0" fillId="3" borderId="0" xfId="0" applyFill="1" applyAlignment="1"/>
    <xf numFmtId="0" fontId="0" fillId="2" borderId="0" xfId="0" applyFill="1" applyAlignment="1"/>
    <xf numFmtId="0" fontId="14" fillId="3" borderId="0" xfId="0" applyFont="1" applyFill="1" applyAlignment="1">
      <alignment vertical="top"/>
    </xf>
    <xf numFmtId="0" fontId="6" fillId="2" borderId="0" xfId="0" applyFont="1" applyFill="1" applyBorder="1" applyAlignment="1"/>
    <xf numFmtId="0" fontId="7" fillId="2" borderId="1" xfId="0" applyFont="1" applyFill="1" applyBorder="1" applyAlignment="1"/>
    <xf numFmtId="0" fontId="6" fillId="2" borderId="0" xfId="0" applyFont="1" applyFill="1" applyAlignment="1"/>
    <xf numFmtId="0" fontId="6" fillId="2" borderId="1" xfId="0" applyFont="1" applyFill="1" applyBorder="1" applyAlignment="1"/>
    <xf numFmtId="0" fontId="5" fillId="2" borderId="1" xfId="0" applyFont="1" applyFill="1" applyBorder="1" applyAlignment="1"/>
    <xf numFmtId="0" fontId="6" fillId="2" borderId="0" xfId="0" applyFont="1" applyFill="1" applyBorder="1" applyAlignment="1">
      <alignment vertical="center"/>
    </xf>
    <xf numFmtId="0" fontId="7" fillId="2" borderId="1" xfId="0" applyFont="1" applyFill="1" applyBorder="1" applyAlignment="1">
      <alignment horizontal="left"/>
    </xf>
    <xf numFmtId="0" fontId="6" fillId="2" borderId="1" xfId="0" applyFont="1" applyFill="1" applyBorder="1" applyAlignment="1">
      <alignment horizontal="left"/>
    </xf>
    <xf numFmtId="0" fontId="7" fillId="2" borderId="0" xfId="0" applyFont="1" applyFill="1" applyBorder="1" applyAlignment="1">
      <alignment horizontal="left"/>
    </xf>
    <xf numFmtId="0" fontId="5" fillId="2" borderId="1" xfId="0" applyFont="1" applyFill="1" applyBorder="1" applyAlignment="1">
      <alignment horizontal="left"/>
    </xf>
    <xf numFmtId="0" fontId="14" fillId="2" borderId="2" xfId="0" applyFont="1" applyFill="1" applyBorder="1"/>
    <xf numFmtId="0" fontId="0" fillId="2" borderId="2" xfId="0" applyFill="1" applyBorder="1" applyAlignment="1">
      <alignment horizontal="right"/>
    </xf>
    <xf numFmtId="0" fontId="13" fillId="5" borderId="0" xfId="0" applyFont="1" applyFill="1" applyBorder="1" applyAlignment="1">
      <alignment vertical="top" wrapText="1"/>
    </xf>
    <xf numFmtId="0" fontId="0" fillId="5" borderId="0" xfId="0" applyFill="1" applyBorder="1" applyAlignment="1">
      <alignment vertical="top" wrapText="1"/>
    </xf>
    <xf numFmtId="0" fontId="0" fillId="6" borderId="0" xfId="0" applyFill="1"/>
    <xf numFmtId="0" fontId="11" fillId="2" borderId="0" xfId="0" applyFont="1" applyFill="1" applyBorder="1" applyAlignment="1"/>
    <xf numFmtId="0" fontId="11" fillId="2" borderId="1" xfId="0" applyFont="1" applyFill="1" applyBorder="1" applyAlignment="1"/>
    <xf numFmtId="164" fontId="11" fillId="2" borderId="0" xfId="0" applyNumberFormat="1" applyFont="1" applyFill="1" applyBorder="1" applyAlignment="1"/>
    <xf numFmtId="0" fontId="0" fillId="3" borderId="0" xfId="0" applyFill="1" applyAlignment="1"/>
    <xf numFmtId="0" fontId="14" fillId="4" borderId="0" xfId="0" applyFont="1" applyFill="1" applyAlignment="1">
      <alignment wrapText="1"/>
    </xf>
    <xf numFmtId="0" fontId="14" fillId="3" borderId="0" xfId="0" applyFont="1" applyFill="1" applyAlignment="1"/>
    <xf numFmtId="0" fontId="0" fillId="3" borderId="0" xfId="0" applyFill="1" applyAlignment="1">
      <alignment vertical="top"/>
    </xf>
    <xf numFmtId="0" fontId="14" fillId="3" borderId="0" xfId="0" applyFont="1" applyFill="1" applyAlignment="1">
      <alignment vertical="top"/>
    </xf>
    <xf numFmtId="17" fontId="0" fillId="3" borderId="0" xfId="0" quotePrefix="1" applyNumberFormat="1" applyFill="1"/>
    <xf numFmtId="0" fontId="26" fillId="3" borderId="0" xfId="0" applyFont="1" applyFill="1" applyBorder="1" applyAlignment="1">
      <alignment horizontal="center" vertical="top"/>
    </xf>
    <xf numFmtId="0" fontId="15" fillId="4" borderId="0" xfId="0" applyFont="1" applyFill="1" applyBorder="1"/>
    <xf numFmtId="0" fontId="0" fillId="6" borderId="0" xfId="0" applyFill="1" applyBorder="1"/>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6" borderId="0" xfId="0" applyFill="1" applyAlignment="1">
      <alignment horizontal="center" vertical="center"/>
    </xf>
    <xf numFmtId="0" fontId="0" fillId="6" borderId="0" xfId="0" applyFill="1" applyAlignment="1">
      <alignment horizontal="left"/>
    </xf>
    <xf numFmtId="0" fontId="14" fillId="6" borderId="0" xfId="0" applyFont="1" applyFill="1"/>
    <xf numFmtId="0" fontId="14" fillId="6" borderId="0" xfId="0" applyFont="1" applyFill="1" applyAlignment="1">
      <alignment wrapText="1"/>
    </xf>
    <xf numFmtId="164" fontId="11" fillId="2" borderId="0" xfId="0" applyNumberFormat="1" applyFont="1" applyFill="1" applyBorder="1" applyAlignment="1">
      <alignment horizontal="right" vertical="top"/>
    </xf>
    <xf numFmtId="164" fontId="11" fillId="2" borderId="1" xfId="0" applyNumberFormat="1" applyFont="1" applyFill="1" applyBorder="1" applyAlignment="1">
      <alignment horizontal="right" vertical="top"/>
    </xf>
    <xf numFmtId="0" fontId="11" fillId="3" borderId="0" xfId="0" applyFont="1" applyFill="1" applyAlignment="1">
      <alignment vertical="top"/>
    </xf>
    <xf numFmtId="0" fontId="6" fillId="3" borderId="0" xfId="0" applyFont="1" applyFill="1" applyAlignment="1">
      <alignment vertical="top" wrapText="1"/>
    </xf>
    <xf numFmtId="0" fontId="27" fillId="3" borderId="0" xfId="1" applyFont="1" applyFill="1" applyAlignment="1">
      <alignment vertical="top" wrapText="1"/>
    </xf>
    <xf numFmtId="0" fontId="11" fillId="3" borderId="0" xfId="0" applyFont="1" applyFill="1" applyBorder="1" applyAlignment="1">
      <alignment vertical="top" wrapText="1"/>
    </xf>
    <xf numFmtId="0" fontId="27" fillId="3" borderId="0" xfId="1" applyFont="1" applyFill="1" applyBorder="1" applyAlignment="1">
      <alignment horizontal="left" vertical="center" indent="3"/>
    </xf>
    <xf numFmtId="0" fontId="11" fillId="3" borderId="1" xfId="0" applyFont="1" applyFill="1" applyBorder="1" applyAlignment="1">
      <alignment horizontal="left"/>
    </xf>
    <xf numFmtId="0" fontId="11" fillId="3" borderId="1" xfId="0" applyFont="1" applyFill="1" applyBorder="1"/>
    <xf numFmtId="0" fontId="14" fillId="3" borderId="0" xfId="0" applyFont="1" applyFill="1" applyAlignment="1">
      <alignment vertical="top"/>
    </xf>
    <xf numFmtId="0" fontId="0" fillId="3" borderId="0" xfId="0" applyFill="1" applyAlignment="1">
      <alignment wrapText="1"/>
    </xf>
    <xf numFmtId="0" fontId="4" fillId="0" borderId="0" xfId="0" applyFont="1"/>
    <xf numFmtId="0" fontId="0" fillId="3" borderId="0" xfId="0" applyFill="1" applyAlignment="1">
      <alignment vertical="top"/>
    </xf>
    <xf numFmtId="164" fontId="5" fillId="2" borderId="0" xfId="0" applyNumberFormat="1" applyFont="1" applyFill="1"/>
    <xf numFmtId="0" fontId="8" fillId="2" borderId="0" xfId="0" applyFont="1" applyFill="1"/>
    <xf numFmtId="0" fontId="6" fillId="2" borderId="0" xfId="0" applyFont="1" applyFill="1" applyAlignment="1">
      <alignment horizontal="right"/>
    </xf>
    <xf numFmtId="0" fontId="5" fillId="2" borderId="0" xfId="0" applyFont="1" applyFill="1" applyAlignment="1">
      <alignment horizontal="right"/>
    </xf>
    <xf numFmtId="0" fontId="7" fillId="2" borderId="0" xfId="0" applyFont="1" applyFill="1" applyBorder="1" applyAlignment="1">
      <alignment horizontal="right"/>
    </xf>
    <xf numFmtId="0" fontId="7" fillId="2" borderId="0" xfId="0" applyFont="1" applyFill="1" applyAlignment="1">
      <alignment horizontal="right"/>
    </xf>
    <xf numFmtId="0" fontId="5" fillId="2" borderId="0" xfId="0" applyFont="1" applyFill="1" applyAlignment="1">
      <alignment vertical="top"/>
    </xf>
    <xf numFmtId="0" fontId="2" fillId="6" borderId="0" xfId="1" applyFill="1" applyBorder="1"/>
    <xf numFmtId="0" fontId="0" fillId="6" borderId="0" xfId="0" applyFill="1" applyBorder="1" applyAlignment="1">
      <alignment horizontal="left"/>
    </xf>
    <xf numFmtId="0" fontId="13" fillId="6" borderId="0" xfId="0" applyFont="1" applyFill="1" applyBorder="1" applyAlignment="1">
      <alignment horizontal="left" vertical="top"/>
    </xf>
    <xf numFmtId="0" fontId="3" fillId="6" borderId="0" xfId="0" applyFont="1" applyFill="1" applyBorder="1" applyAlignment="1">
      <alignment horizontal="left"/>
    </xf>
    <xf numFmtId="0" fontId="3" fillId="6" borderId="0" xfId="0" applyFont="1" applyFill="1" applyBorder="1" applyAlignment="1">
      <alignment horizontal="left" vertical="top" wrapText="1"/>
    </xf>
    <xf numFmtId="0" fontId="0" fillId="6" borderId="0" xfId="0" applyFill="1" applyBorder="1" applyAlignment="1">
      <alignment horizontal="left" vertical="top"/>
    </xf>
    <xf numFmtId="0" fontId="26" fillId="6" borderId="0" xfId="0" applyFont="1" applyFill="1" applyBorder="1" applyAlignment="1">
      <alignment horizontal="center" vertical="top"/>
    </xf>
    <xf numFmtId="0" fontId="3" fillId="6" borderId="0" xfId="0" applyFont="1" applyFill="1" applyBorder="1" applyAlignment="1">
      <alignment horizontal="left" vertical="top"/>
    </xf>
    <xf numFmtId="0" fontId="3" fillId="3" borderId="8" xfId="0" applyFont="1" applyFill="1" applyBorder="1" applyAlignment="1"/>
    <xf numFmtId="0" fontId="28" fillId="3" borderId="0" xfId="0" applyFont="1" applyFill="1" applyBorder="1" applyAlignment="1"/>
    <xf numFmtId="0" fontId="6" fillId="2" borderId="1" xfId="0" applyFont="1" applyFill="1" applyBorder="1" applyAlignment="1">
      <alignment horizontal="right"/>
    </xf>
    <xf numFmtId="0" fontId="7" fillId="2" borderId="1" xfId="0" applyFont="1" applyFill="1" applyBorder="1" applyAlignment="1">
      <alignment horizontal="right"/>
    </xf>
    <xf numFmtId="0" fontId="5" fillId="2" borderId="1" xfId="0" applyFont="1" applyFill="1" applyBorder="1" applyAlignment="1">
      <alignment horizontal="right"/>
    </xf>
    <xf numFmtId="0" fontId="0" fillId="2" borderId="0" xfId="0" applyNumberFormat="1" applyFill="1" applyAlignment="1">
      <alignment horizontal="right"/>
    </xf>
    <xf numFmtId="0" fontId="0" fillId="3" borderId="0" xfId="0" applyFill="1" applyAlignment="1">
      <alignment vertical="top" wrapText="1"/>
    </xf>
    <xf numFmtId="0" fontId="28" fillId="3" borderId="8" xfId="0" applyFont="1" applyFill="1" applyBorder="1" applyAlignment="1"/>
    <xf numFmtId="0" fontId="0" fillId="3" borderId="0" xfId="0" applyFill="1" applyAlignment="1">
      <alignment wrapText="1"/>
    </xf>
    <xf numFmtId="164" fontId="11" fillId="2" borderId="2" xfId="0" applyNumberFormat="1" applyFont="1" applyFill="1" applyBorder="1" applyAlignment="1">
      <alignment horizontal="right"/>
    </xf>
    <xf numFmtId="0" fontId="0" fillId="2" borderId="2" xfId="0" applyFill="1" applyBorder="1"/>
    <xf numFmtId="0" fontId="0" fillId="2" borderId="2" xfId="0" applyFont="1" applyFill="1" applyBorder="1"/>
    <xf numFmtId="0" fontId="11"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applyBorder="1" applyAlignment="1">
      <alignment vertical="center"/>
    </xf>
    <xf numFmtId="164" fontId="11" fillId="2" borderId="0" xfId="0" applyNumberFormat="1" applyFont="1" applyFill="1" applyBorder="1" applyAlignment="1">
      <alignment horizontal="right" vertical="center"/>
    </xf>
    <xf numFmtId="0" fontId="11" fillId="2" borderId="2" xfId="0" applyFont="1" applyFill="1" applyBorder="1" applyAlignment="1">
      <alignment horizontal="left"/>
    </xf>
    <xf numFmtId="0" fontId="2" fillId="3" borderId="0" xfId="1" applyFill="1" applyAlignment="1">
      <alignment wrapText="1"/>
    </xf>
    <xf numFmtId="0" fontId="29" fillId="3" borderId="0" xfId="0" applyFont="1" applyFill="1" applyBorder="1" applyAlignment="1">
      <alignment vertical="top"/>
    </xf>
    <xf numFmtId="0" fontId="29" fillId="3" borderId="0" xfId="0" applyFont="1" applyFill="1" applyBorder="1" applyAlignment="1"/>
    <xf numFmtId="0" fontId="29" fillId="3" borderId="0" xfId="0" applyFont="1" applyFill="1" applyBorder="1" applyAlignment="1">
      <alignment vertical="center"/>
    </xf>
    <xf numFmtId="0" fontId="29" fillId="3" borderId="8" xfId="0" applyFont="1" applyFill="1" applyBorder="1" applyAlignment="1"/>
    <xf numFmtId="0" fontId="30" fillId="2" borderId="0" xfId="0" applyFont="1" applyFill="1"/>
    <xf numFmtId="164" fontId="30" fillId="2" borderId="0" xfId="0" applyNumberFormat="1" applyFont="1" applyFill="1"/>
    <xf numFmtId="0" fontId="31" fillId="2" borderId="0" xfId="0" applyFont="1" applyFill="1"/>
    <xf numFmtId="0" fontId="32" fillId="2" borderId="0" xfId="0" applyFont="1" applyFill="1" applyAlignment="1">
      <alignment horizontal="left"/>
    </xf>
    <xf numFmtId="0" fontId="33" fillId="2" borderId="0" xfId="0" applyFont="1" applyFill="1" applyAlignment="1">
      <alignment horizontal="left"/>
    </xf>
    <xf numFmtId="0" fontId="33" fillId="2" borderId="0" xfId="0" applyFont="1" applyFill="1" applyBorder="1" applyAlignment="1">
      <alignment horizontal="left"/>
    </xf>
    <xf numFmtId="0" fontId="33" fillId="2" borderId="0" xfId="0" applyFont="1" applyFill="1" applyBorder="1" applyAlignment="1">
      <alignment horizontal="right"/>
    </xf>
    <xf numFmtId="0" fontId="32" fillId="2" borderId="0" xfId="0" applyFont="1" applyFill="1" applyBorder="1" applyAlignment="1">
      <alignment horizontal="right"/>
    </xf>
    <xf numFmtId="0" fontId="31" fillId="2" borderId="0" xfId="0" quotePrefix="1" applyFont="1" applyFill="1"/>
    <xf numFmtId="0" fontId="30"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0" fillId="4" borderId="11" xfId="0" applyFill="1" applyBorder="1"/>
    <xf numFmtId="0" fontId="1" fillId="3" borderId="0" xfId="0" applyFont="1" applyFill="1" applyAlignment="1">
      <alignment vertical="top" wrapText="1"/>
    </xf>
    <xf numFmtId="0" fontId="15" fillId="4" borderId="0" xfId="0" applyFont="1" applyFill="1" applyAlignment="1">
      <alignment wrapText="1"/>
    </xf>
    <xf numFmtId="0" fontId="5" fillId="6" borderId="0" xfId="0" applyFont="1" applyFill="1"/>
    <xf numFmtId="0" fontId="6" fillId="6" borderId="0" xfId="0" applyFont="1" applyFill="1" applyAlignment="1">
      <alignment horizontal="left" indent="1"/>
    </xf>
    <xf numFmtId="0" fontId="6" fillId="6" borderId="0" xfId="0" applyFont="1" applyFill="1" applyBorder="1"/>
    <xf numFmtId="0" fontId="6" fillId="6" borderId="0" xfId="0" applyFont="1" applyFill="1" applyAlignment="1">
      <alignment horizontal="right"/>
    </xf>
    <xf numFmtId="0" fontId="5" fillId="6" borderId="0" xfId="0" applyFont="1" applyFill="1" applyAlignment="1">
      <alignment horizontal="right"/>
    </xf>
    <xf numFmtId="15" fontId="0" fillId="0" borderId="0" xfId="0" quotePrefix="1" applyNumberFormat="1" applyFill="1"/>
    <xf numFmtId="0" fontId="0" fillId="3" borderId="0" xfId="0" applyFill="1" applyAlignment="1">
      <alignment vertical="top" wrapText="1"/>
    </xf>
    <xf numFmtId="0" fontId="0" fillId="0" borderId="0" xfId="0" applyAlignment="1">
      <alignment vertical="top"/>
    </xf>
    <xf numFmtId="0" fontId="8" fillId="2" borderId="0" xfId="0" applyFont="1" applyFill="1" applyAlignment="1">
      <alignment wrapText="1"/>
    </xf>
    <xf numFmtId="0" fontId="0" fillId="0" borderId="0" xfId="0" applyAlignment="1"/>
    <xf numFmtId="0" fontId="14" fillId="6" borderId="0" xfId="0" applyFont="1" applyFill="1" applyAlignment="1">
      <alignment wrapText="1"/>
    </xf>
    <xf numFmtId="0" fontId="13" fillId="2" borderId="0" xfId="0" applyFont="1" applyFill="1" applyAlignment="1">
      <alignment wrapText="1"/>
    </xf>
    <xf numFmtId="0" fontId="0" fillId="0" borderId="0" xfId="0" applyAlignment="1">
      <alignment wrapText="1"/>
    </xf>
    <xf numFmtId="0" fontId="8" fillId="2" borderId="0" xfId="0" applyFont="1" applyFill="1" applyAlignment="1">
      <alignment vertical="top" wrapText="1"/>
    </xf>
    <xf numFmtId="0" fontId="0" fillId="0" borderId="0" xfId="0" applyFont="1" applyAlignment="1">
      <alignment vertical="top" wrapText="1"/>
    </xf>
    <xf numFmtId="0" fontId="9" fillId="3" borderId="0" xfId="0" applyFont="1" applyFill="1" applyAlignment="1">
      <alignment wrapText="1"/>
    </xf>
    <xf numFmtId="0" fontId="13" fillId="3" borderId="0" xfId="0" applyFont="1" applyFill="1" applyAlignment="1">
      <alignment wrapText="1"/>
    </xf>
    <xf numFmtId="0" fontId="14" fillId="3" borderId="0" xfId="0" applyFont="1" applyFill="1" applyAlignment="1">
      <alignment vertical="top" wrapText="1"/>
    </xf>
    <xf numFmtId="0" fontId="0" fillId="3" borderId="0" xfId="0" applyFill="1" applyAlignment="1">
      <alignment vertical="top"/>
    </xf>
    <xf numFmtId="0" fontId="14" fillId="2" borderId="2" xfId="0" applyFont="1" applyFill="1" applyBorder="1" applyAlignment="1"/>
    <xf numFmtId="0" fontId="0" fillId="0" borderId="2" xfId="0" applyBorder="1" applyAlignment="1"/>
    <xf numFmtId="0" fontId="19" fillId="2" borderId="0" xfId="0" applyFont="1" applyFill="1" applyAlignment="1">
      <alignment wrapText="1"/>
    </xf>
    <xf numFmtId="0" fontId="0" fillId="2" borderId="0" xfId="0" applyFill="1" applyAlignment="1"/>
    <xf numFmtId="0" fontId="13"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0" fillId="3" borderId="0" xfId="0" applyFill="1" applyAlignment="1">
      <alignment wrapText="1"/>
    </xf>
  </cellXfs>
  <cellStyles count="9">
    <cellStyle name="Hyperlink" xfId="1" builtinId="8"/>
    <cellStyle name="Normal" xfId="0" builtinId="0"/>
    <cellStyle name="Normal 10" xfId="2"/>
    <cellStyle name="Normal 2" xfId="5"/>
    <cellStyle name="Normal 3" xfId="3"/>
    <cellStyle name="Normal 3 2" xfId="6"/>
    <cellStyle name="Normal 4" xfId="7"/>
    <cellStyle name="Normal 5" xfId="8"/>
    <cellStyle name="Normal 6" xfId="4"/>
  </cellStyles>
  <dxfs count="0"/>
  <tableStyles count="0" defaultTableStyle="TableStyleMedium2" defaultPivotStyle="PivotStyleLight16"/>
  <colors>
    <mruColors>
      <color rgb="FFE6E6E6"/>
      <color rgb="FF4BACC6"/>
      <color rgb="FF317CC1"/>
      <color rgb="FF8F8F91"/>
      <color rgb="FF1E4B74"/>
      <color rgb="FFA7D6E3"/>
      <color rgb="FF70BDD2"/>
      <color rgb="FF69A4D9"/>
      <color rgb="FF276399"/>
      <color rgb="FF193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45156168252092E-2"/>
          <c:y val="0.18372643090810922"/>
          <c:w val="0.87549193254817703"/>
          <c:h val="0.65972945170431485"/>
        </c:manualLayout>
      </c:layout>
      <c:barChart>
        <c:barDir val="col"/>
        <c:grouping val="clustered"/>
        <c:varyColors val="0"/>
        <c:ser>
          <c:idx val="1"/>
          <c:order val="1"/>
          <c:tx>
            <c:v>Number</c:v>
          </c:tx>
          <c:spPr>
            <a:solidFill>
              <a:schemeClr val="accent1"/>
            </a:solidFill>
            <a:ln>
              <a:noFill/>
            </a:ln>
            <a:effectLst/>
          </c:spPr>
          <c:invertIfNegative val="0"/>
          <c:cat>
            <c:numRef>
              <c:f>'Quick facts'!$X$24:$AG$24</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'Quick facts'!$X$26:$AG$26</c:f>
              <c:numCache>
                <c:formatCode>0</c:formatCode>
                <c:ptCount val="10"/>
                <c:pt idx="0">
                  <c:v>501</c:v>
                </c:pt>
                <c:pt idx="1">
                  <c:v>518</c:v>
                </c:pt>
                <c:pt idx="2">
                  <c:v>512</c:v>
                </c:pt>
                <c:pt idx="3">
                  <c:v>534</c:v>
                </c:pt>
                <c:pt idx="4">
                  <c:v>494</c:v>
                </c:pt>
                <c:pt idx="5">
                  <c:v>550</c:v>
                </c:pt>
                <c:pt idx="6">
                  <c:v>513</c:v>
                </c:pt>
                <c:pt idx="7">
                  <c:v>510</c:v>
                </c:pt>
                <c:pt idx="8">
                  <c:v>529</c:v>
                </c:pt>
                <c:pt idx="9">
                  <c:v>553</c:v>
                </c:pt>
              </c:numCache>
            </c:numRef>
          </c:val>
        </c:ser>
        <c:dLbls>
          <c:showLegendKey val="0"/>
          <c:showVal val="0"/>
          <c:showCatName val="0"/>
          <c:showSerName val="0"/>
          <c:showPercent val="0"/>
          <c:showBubbleSize val="0"/>
        </c:dLbls>
        <c:gapWidth val="89"/>
        <c:overlap val="-27"/>
        <c:axId val="604865864"/>
        <c:axId val="604872920"/>
      </c:barChart>
      <c:lineChart>
        <c:grouping val="standard"/>
        <c:varyColors val="0"/>
        <c:ser>
          <c:idx val="0"/>
          <c:order val="0"/>
          <c:tx>
            <c:v>Rate</c:v>
          </c:tx>
          <c:spPr>
            <a:ln w="22225" cap="rnd">
              <a:solidFill>
                <a:schemeClr val="bg1">
                  <a:lumMod val="50000"/>
                </a:schemeClr>
              </a:solidFill>
              <a:round/>
            </a:ln>
            <a:effectLst/>
          </c:spPr>
          <c:marker>
            <c:symbol val="none"/>
          </c:marker>
          <c:cat>
            <c:numRef>
              <c:f>'Quick facts'!$X$24:$AG$24</c:f>
              <c:numCache>
                <c:formatCode>0</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'Quick facts'!$X$30:$AG$30</c:f>
              <c:numCache>
                <c:formatCode>0.0</c:formatCode>
                <c:ptCount val="10"/>
                <c:pt idx="0">
                  <c:v>11.3776715520784</c:v>
                </c:pt>
                <c:pt idx="1">
                  <c:v>11.809655272717</c:v>
                </c:pt>
                <c:pt idx="2">
                  <c:v>11.484055558810701</c:v>
                </c:pt>
                <c:pt idx="3">
                  <c:v>11.9073434349195</c:v>
                </c:pt>
                <c:pt idx="4">
                  <c:v>11.118020247642701</c:v>
                </c:pt>
                <c:pt idx="5">
                  <c:v>12.338278444361899</c:v>
                </c:pt>
                <c:pt idx="6">
                  <c:v>11.0080199296969</c:v>
                </c:pt>
                <c:pt idx="7">
                  <c:v>10.808867367895701</c:v>
                </c:pt>
                <c:pt idx="8">
                  <c:v>11.0870646638965</c:v>
                </c:pt>
                <c:pt idx="9">
                  <c:v>11.303636553634</c:v>
                </c:pt>
              </c:numCache>
            </c:numRef>
          </c:val>
          <c:smooth val="0"/>
        </c:ser>
        <c:dLbls>
          <c:showLegendKey val="0"/>
          <c:showVal val="0"/>
          <c:showCatName val="0"/>
          <c:showSerName val="0"/>
          <c:showPercent val="0"/>
          <c:showBubbleSize val="0"/>
        </c:dLbls>
        <c:marker val="1"/>
        <c:smooth val="0"/>
        <c:axId val="524598416"/>
        <c:axId val="524599592"/>
      </c:lineChart>
      <c:catAx>
        <c:axId val="524598416"/>
        <c:scaling>
          <c:orientation val="minMax"/>
        </c:scaling>
        <c:delete val="0"/>
        <c:axPos val="b"/>
        <c:numFmt formatCode="0"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4599592"/>
        <c:crosses val="autoZero"/>
        <c:auto val="1"/>
        <c:lblAlgn val="ctr"/>
        <c:lblOffset val="100"/>
        <c:tickLblSkip val="3"/>
        <c:noMultiLvlLbl val="0"/>
      </c:catAx>
      <c:valAx>
        <c:axId val="524599592"/>
        <c:scaling>
          <c:orientation val="minMax"/>
          <c:max val="14"/>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4598416"/>
        <c:crosses val="autoZero"/>
        <c:crossBetween val="between"/>
        <c:majorUnit val="2"/>
      </c:valAx>
      <c:valAx>
        <c:axId val="604872920"/>
        <c:scaling>
          <c:orientation val="minMax"/>
          <c:max val="700"/>
        </c:scaling>
        <c:delete val="0"/>
        <c:axPos val="r"/>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4865864"/>
        <c:crosses val="max"/>
        <c:crossBetween val="between"/>
      </c:valAx>
      <c:catAx>
        <c:axId val="604865864"/>
        <c:scaling>
          <c:orientation val="minMax"/>
        </c:scaling>
        <c:delete val="1"/>
        <c:axPos val="b"/>
        <c:numFmt formatCode="0" sourceLinked="1"/>
        <c:majorTickMark val="out"/>
        <c:minorTickMark val="none"/>
        <c:tickLblPos val="nextTo"/>
        <c:crossAx val="604872920"/>
        <c:crosses val="autoZero"/>
        <c:auto val="1"/>
        <c:lblAlgn val="ctr"/>
        <c:lblOffset val="100"/>
        <c:noMultiLvlLbl val="0"/>
      </c:catAx>
      <c:spPr>
        <a:noFill/>
        <a:ln>
          <a:noFill/>
        </a:ln>
        <a:effectLst/>
      </c:spPr>
    </c:plotArea>
    <c:legend>
      <c:legendPos val="r"/>
      <c:layout>
        <c:manualLayout>
          <c:xMode val="edge"/>
          <c:yMode val="edge"/>
          <c:x val="0.73888591358978617"/>
          <c:y val="1.1784324373246448E-2"/>
          <c:w val="0.1070901063100487"/>
          <c:h val="0.183327902977645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94818261853867E-2"/>
          <c:y val="0.21086111111111111"/>
          <c:w val="0.89563264987916114"/>
          <c:h val="0.63917231265581465"/>
        </c:manualLayout>
      </c:layout>
      <c:lineChart>
        <c:grouping val="standard"/>
        <c:varyColors val="0"/>
        <c:ser>
          <c:idx val="0"/>
          <c:order val="0"/>
          <c:tx>
            <c:strRef>
              <c:f>'Age Sex'!$O$11</c:f>
              <c:strCache>
                <c:ptCount val="1"/>
                <c:pt idx="0">
                  <c:v>Male</c:v>
                </c:pt>
              </c:strCache>
            </c:strRef>
          </c:tx>
          <c:spPr>
            <a:ln w="22225" cap="rnd">
              <a:solidFill>
                <a:schemeClr val="bg1">
                  <a:lumMod val="65000"/>
                </a:schemeClr>
              </a:solidFill>
              <a:round/>
            </a:ln>
            <a:effectLst/>
          </c:spPr>
          <c:marker>
            <c:symbol val="none"/>
          </c:marker>
          <c:errBars>
            <c:errDir val="y"/>
            <c:errBarType val="both"/>
            <c:errValType val="cust"/>
            <c:noEndCap val="0"/>
            <c:plus>
              <c:numRef>
                <c:f>'Age Sex'!$AV$10:$BE$10</c:f>
                <c:numCache>
                  <c:formatCode>General</c:formatCode>
                  <c:ptCount val="10"/>
                  <c:pt idx="0">
                    <c:v>1.8</c:v>
                  </c:pt>
                  <c:pt idx="1">
                    <c:v>1.8</c:v>
                  </c:pt>
                  <c:pt idx="2">
                    <c:v>1.8</c:v>
                  </c:pt>
                  <c:pt idx="3">
                    <c:v>1.8</c:v>
                  </c:pt>
                  <c:pt idx="4">
                    <c:v>1.8</c:v>
                  </c:pt>
                  <c:pt idx="5">
                    <c:v>1.8</c:v>
                  </c:pt>
                  <c:pt idx="6">
                    <c:v>1.6</c:v>
                  </c:pt>
                  <c:pt idx="7">
                    <c:v>1.7</c:v>
                  </c:pt>
                  <c:pt idx="8">
                    <c:v>1.6</c:v>
                  </c:pt>
                  <c:pt idx="9">
                    <c:v>1.6</c:v>
                  </c:pt>
                </c:numCache>
              </c:numRef>
            </c:plus>
            <c:minus>
              <c:numRef>
                <c:f>'Age Sex'!$AV$10:$BE$10</c:f>
                <c:numCache>
                  <c:formatCode>General</c:formatCode>
                  <c:ptCount val="10"/>
                  <c:pt idx="0">
                    <c:v>1.8</c:v>
                  </c:pt>
                  <c:pt idx="1">
                    <c:v>1.8</c:v>
                  </c:pt>
                  <c:pt idx="2">
                    <c:v>1.8</c:v>
                  </c:pt>
                  <c:pt idx="3">
                    <c:v>1.8</c:v>
                  </c:pt>
                  <c:pt idx="4">
                    <c:v>1.8</c:v>
                  </c:pt>
                  <c:pt idx="5">
                    <c:v>1.8</c:v>
                  </c:pt>
                  <c:pt idx="6">
                    <c:v>1.6</c:v>
                  </c:pt>
                  <c:pt idx="7">
                    <c:v>1.7</c:v>
                  </c:pt>
                  <c:pt idx="8">
                    <c:v>1.6</c:v>
                  </c:pt>
                  <c:pt idx="9">
                    <c:v>1.6</c:v>
                  </c:pt>
                </c:numCache>
              </c:numRef>
            </c:minus>
            <c:spPr>
              <a:noFill/>
              <a:ln w="9525" cap="flat" cmpd="sng" algn="ctr">
                <a:solidFill>
                  <a:schemeClr val="tx1">
                    <a:lumMod val="65000"/>
                    <a:lumOff val="35000"/>
                  </a:schemeClr>
                </a:solidFill>
                <a:round/>
              </a:ln>
              <a:effectLst/>
            </c:spPr>
          </c:errBars>
          <c:cat>
            <c:numRef>
              <c:f>'Age Sex'!$R$8:$AA$8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Sex'!$R$15:$AA$15</c:f>
              <c:numCache>
                <c:formatCode>0.0</c:formatCode>
                <c:ptCount val="10"/>
                <c:pt idx="0">
                  <c:v>17.981880281474702</c:v>
                </c:pt>
                <c:pt idx="1">
                  <c:v>17.700121249097698</c:v>
                </c:pt>
                <c:pt idx="2">
                  <c:v>18.249471294450601</c:v>
                </c:pt>
                <c:pt idx="3">
                  <c:v>17.638688314312301</c:v>
                </c:pt>
                <c:pt idx="4">
                  <c:v>17.402217133944198</c:v>
                </c:pt>
                <c:pt idx="5">
                  <c:v>18.616289554563799</c:v>
                </c:pt>
                <c:pt idx="6">
                  <c:v>15.8972409761442</c:v>
                </c:pt>
                <c:pt idx="7">
                  <c:v>16.4366760918771</c:v>
                </c:pt>
                <c:pt idx="8">
                  <c:v>16.433078219363999</c:v>
                </c:pt>
                <c:pt idx="9">
                  <c:v>16.972070209267699</c:v>
                </c:pt>
              </c:numCache>
            </c:numRef>
          </c:val>
          <c:smooth val="0"/>
        </c:ser>
        <c:ser>
          <c:idx val="1"/>
          <c:order val="1"/>
          <c:tx>
            <c:strRef>
              <c:f>'Age Sex'!$O$12</c:f>
              <c:strCache>
                <c:ptCount val="1"/>
                <c:pt idx="0">
                  <c:v>Female</c:v>
                </c:pt>
              </c:strCache>
            </c:strRef>
          </c:tx>
          <c:spPr>
            <a:ln w="22225" cap="rnd">
              <a:solidFill>
                <a:schemeClr val="accent1"/>
              </a:solidFill>
              <a:round/>
            </a:ln>
            <a:effectLst/>
          </c:spPr>
          <c:marker>
            <c:symbol val="none"/>
          </c:marker>
          <c:errBars>
            <c:errDir val="y"/>
            <c:errBarType val="both"/>
            <c:errValType val="cust"/>
            <c:noEndCap val="0"/>
            <c:plus>
              <c:numRef>
                <c:f>'Age Sex'!$AV$12:$BE$12</c:f>
                <c:numCache>
                  <c:formatCode>General</c:formatCode>
                  <c:ptCount val="10"/>
                  <c:pt idx="0">
                    <c:v>0.9</c:v>
                  </c:pt>
                  <c:pt idx="1">
                    <c:v>1</c:v>
                  </c:pt>
                  <c:pt idx="2">
                    <c:v>0.9</c:v>
                  </c:pt>
                  <c:pt idx="3">
                    <c:v>1.1000000000000001</c:v>
                  </c:pt>
                  <c:pt idx="4">
                    <c:v>0.9</c:v>
                  </c:pt>
                  <c:pt idx="5">
                    <c:v>1</c:v>
                  </c:pt>
                  <c:pt idx="6">
                    <c:v>1</c:v>
                  </c:pt>
                  <c:pt idx="7">
                    <c:v>0.9</c:v>
                  </c:pt>
                  <c:pt idx="8">
                    <c:v>1</c:v>
                  </c:pt>
                  <c:pt idx="9">
                    <c:v>1</c:v>
                  </c:pt>
                </c:numCache>
              </c:numRef>
            </c:plus>
            <c:minus>
              <c:numRef>
                <c:f>'Age Sex'!$AV$12:$BE$12</c:f>
                <c:numCache>
                  <c:formatCode>General</c:formatCode>
                  <c:ptCount val="10"/>
                  <c:pt idx="0">
                    <c:v>0.9</c:v>
                  </c:pt>
                  <c:pt idx="1">
                    <c:v>1</c:v>
                  </c:pt>
                  <c:pt idx="2">
                    <c:v>0.9</c:v>
                  </c:pt>
                  <c:pt idx="3">
                    <c:v>1.1000000000000001</c:v>
                  </c:pt>
                  <c:pt idx="4">
                    <c:v>0.9</c:v>
                  </c:pt>
                  <c:pt idx="5">
                    <c:v>1</c:v>
                  </c:pt>
                  <c:pt idx="6">
                    <c:v>1</c:v>
                  </c:pt>
                  <c:pt idx="7">
                    <c:v>0.9</c:v>
                  </c:pt>
                  <c:pt idx="8">
                    <c:v>1</c:v>
                  </c:pt>
                  <c:pt idx="9">
                    <c:v>1</c:v>
                  </c:pt>
                </c:numCache>
              </c:numRef>
            </c:minus>
            <c:spPr>
              <a:noFill/>
              <a:ln w="9525" cap="flat" cmpd="sng" algn="ctr">
                <a:solidFill>
                  <a:schemeClr val="tx1">
                    <a:lumMod val="65000"/>
                    <a:lumOff val="35000"/>
                  </a:schemeClr>
                </a:solidFill>
                <a:round/>
              </a:ln>
              <a:effectLst/>
            </c:spPr>
          </c:errBars>
          <c:cat>
            <c:numRef>
              <c:f>'Age Sex'!$R$8:$AA$8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Sex'!$R$16:$AA$16</c:f>
              <c:numCache>
                <c:formatCode>0.0</c:formatCode>
                <c:ptCount val="10"/>
                <c:pt idx="0">
                  <c:v>5.16144825407138</c:v>
                </c:pt>
                <c:pt idx="1">
                  <c:v>6.26512973729122</c:v>
                </c:pt>
                <c:pt idx="2">
                  <c:v>5.08858477285475</c:v>
                </c:pt>
                <c:pt idx="3">
                  <c:v>6.5442717734968303</c:v>
                </c:pt>
                <c:pt idx="4">
                  <c:v>5.1499552709199499</c:v>
                </c:pt>
                <c:pt idx="5">
                  <c:v>6.37288192291782</c:v>
                </c:pt>
                <c:pt idx="6">
                  <c:v>6.4674511523826501</c:v>
                </c:pt>
                <c:pt idx="7">
                  <c:v>5.4860225639845002</c:v>
                </c:pt>
                <c:pt idx="8">
                  <c:v>6.0322358448962898</c:v>
                </c:pt>
                <c:pt idx="9">
                  <c:v>5.8187112457885704</c:v>
                </c:pt>
              </c:numCache>
            </c:numRef>
          </c:val>
          <c:smooth val="0"/>
        </c:ser>
        <c:dLbls>
          <c:showLegendKey val="0"/>
          <c:showVal val="0"/>
          <c:showCatName val="0"/>
          <c:showSerName val="0"/>
          <c:showPercent val="0"/>
          <c:showBubbleSize val="0"/>
        </c:dLbls>
        <c:smooth val="0"/>
        <c:axId val="604867040"/>
        <c:axId val="604871744"/>
      </c:lineChart>
      <c:catAx>
        <c:axId val="6048670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4871744"/>
        <c:crosses val="autoZero"/>
        <c:auto val="1"/>
        <c:lblAlgn val="ctr"/>
        <c:lblOffset val="100"/>
        <c:tickLblSkip val="3"/>
        <c:noMultiLvlLbl val="0"/>
      </c:catAx>
      <c:valAx>
        <c:axId val="604871744"/>
        <c:scaling>
          <c:orientation val="minMax"/>
          <c:max val="3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4867040"/>
        <c:crosses val="autoZero"/>
        <c:crossBetween val="between"/>
        <c:majorUnit val="5"/>
      </c:valAx>
      <c:spPr>
        <a:noFill/>
        <a:ln>
          <a:noFill/>
        </a:ln>
        <a:effectLst/>
      </c:spPr>
    </c:plotArea>
    <c:legend>
      <c:legendPos val="r"/>
      <c:layout>
        <c:manualLayout>
          <c:xMode val="edge"/>
          <c:yMode val="edge"/>
          <c:x val="0.8707554945054945"/>
          <c:y val="4.5939873881800854E-2"/>
          <c:w val="0.1292445054945055"/>
          <c:h val="0.185492300923889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324445830409814E-2"/>
          <c:y val="0.19210277777777779"/>
          <c:w val="0.85561153197082596"/>
          <c:h val="0.65135277777777767"/>
        </c:manualLayout>
      </c:layout>
      <c:lineChart>
        <c:grouping val="standard"/>
        <c:varyColors val="0"/>
        <c:ser>
          <c:idx val="0"/>
          <c:order val="0"/>
          <c:tx>
            <c:strRef>
              <c:f>'Age Sex'!$P$44</c:f>
              <c:strCache>
                <c:ptCount val="1"/>
                <c:pt idx="0">
                  <c:v>15–24</c:v>
                </c:pt>
              </c:strCache>
            </c:strRef>
          </c:tx>
          <c:spPr>
            <a:ln w="22225" cap="rnd">
              <a:solidFill>
                <a:schemeClr val="bg1">
                  <a:lumMod val="50000"/>
                </a:schemeClr>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Sex'!$R$44:$AA$44</c:f>
              <c:numCache>
                <c:formatCode>0.0</c:formatCode>
                <c:ptCount val="10"/>
                <c:pt idx="0">
                  <c:v>15.499274502044599</c:v>
                </c:pt>
                <c:pt idx="1">
                  <c:v>19.949549074242</c:v>
                </c:pt>
                <c:pt idx="2">
                  <c:v>19.004554539794899</c:v>
                </c:pt>
                <c:pt idx="3">
                  <c:v>17.966397979994198</c:v>
                </c:pt>
                <c:pt idx="4">
                  <c:v>20.876156217882802</c:v>
                </c:pt>
                <c:pt idx="5">
                  <c:v>23.7019954517793</c:v>
                </c:pt>
                <c:pt idx="6">
                  <c:v>17.659692944077602</c:v>
                </c:pt>
                <c:pt idx="7">
                  <c:v>13.8953942232631</c:v>
                </c:pt>
                <c:pt idx="8">
                  <c:v>16.906299500426499</c:v>
                </c:pt>
                <c:pt idx="9">
                  <c:v>16.765212184716699</c:v>
                </c:pt>
              </c:numCache>
            </c:numRef>
          </c:val>
          <c:smooth val="0"/>
        </c:ser>
        <c:ser>
          <c:idx val="3"/>
          <c:order val="1"/>
          <c:tx>
            <c:strRef>
              <c:f>'Age Sex'!$P$45</c:f>
              <c:strCache>
                <c:ptCount val="1"/>
                <c:pt idx="0">
                  <c:v>25–44</c:v>
                </c:pt>
              </c:strCache>
            </c:strRef>
          </c:tx>
          <c:spPr>
            <a:ln w="22225" cap="rnd">
              <a:solidFill>
                <a:schemeClr val="bg1">
                  <a:lumMod val="75000"/>
                </a:schemeClr>
              </a:solidFill>
              <a:prstDash val="solid"/>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Sex'!$R$45:$AA$45</c:f>
              <c:numCache>
                <c:formatCode>0.0</c:formatCode>
                <c:ptCount val="10"/>
                <c:pt idx="0">
                  <c:v>18.0761233928799</c:v>
                </c:pt>
                <c:pt idx="1">
                  <c:v>15.5447937752496</c:v>
                </c:pt>
                <c:pt idx="2">
                  <c:v>14.832724591457</c:v>
                </c:pt>
                <c:pt idx="3">
                  <c:v>17.109007591584799</c:v>
                </c:pt>
                <c:pt idx="4">
                  <c:v>14.112065383017001</c:v>
                </c:pt>
                <c:pt idx="5">
                  <c:v>16.230649749559301</c:v>
                </c:pt>
                <c:pt idx="6">
                  <c:v>14.073795641494099</c:v>
                </c:pt>
                <c:pt idx="7">
                  <c:v>16.415679565934902</c:v>
                </c:pt>
                <c:pt idx="8">
                  <c:v>14.6091421140189</c:v>
                </c:pt>
                <c:pt idx="9">
                  <c:v>16.318029372452902</c:v>
                </c:pt>
              </c:numCache>
            </c:numRef>
          </c:val>
          <c:smooth val="0"/>
        </c:ser>
        <c:ser>
          <c:idx val="1"/>
          <c:order val="2"/>
          <c:tx>
            <c:strRef>
              <c:f>'Age Sex'!$P$46</c:f>
              <c:strCache>
                <c:ptCount val="1"/>
                <c:pt idx="0">
                  <c:v>45–64</c:v>
                </c:pt>
              </c:strCache>
            </c:strRef>
          </c:tx>
          <c:spPr>
            <a:ln w="22225" cap="rnd">
              <a:solidFill>
                <a:schemeClr val="accent1"/>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Sex'!$R$46:$AA$46</c:f>
              <c:numCache>
                <c:formatCode>0.0</c:formatCode>
                <c:ptCount val="10"/>
                <c:pt idx="0">
                  <c:v>13.8509559110417</c:v>
                </c:pt>
                <c:pt idx="1">
                  <c:v>15.090829710901501</c:v>
                </c:pt>
                <c:pt idx="2">
                  <c:v>14.740238068750701</c:v>
                </c:pt>
                <c:pt idx="3">
                  <c:v>14.628650347998301</c:v>
                </c:pt>
                <c:pt idx="4">
                  <c:v>13.4247409025006</c:v>
                </c:pt>
                <c:pt idx="5">
                  <c:v>13.0385034991086</c:v>
                </c:pt>
                <c:pt idx="6">
                  <c:v>16.0695468914647</c:v>
                </c:pt>
                <c:pt idx="7">
                  <c:v>14.301067813063399</c:v>
                </c:pt>
                <c:pt idx="8">
                  <c:v>14.616134160726199</c:v>
                </c:pt>
                <c:pt idx="9">
                  <c:v>14.3032628266613</c:v>
                </c:pt>
              </c:numCache>
            </c:numRef>
          </c:val>
          <c:smooth val="0"/>
        </c:ser>
        <c:ser>
          <c:idx val="2"/>
          <c:order val="3"/>
          <c:tx>
            <c:strRef>
              <c:f>'Age Sex'!$P$47</c:f>
              <c:strCache>
                <c:ptCount val="1"/>
                <c:pt idx="0">
                  <c:v>65+</c:v>
                </c:pt>
              </c:strCache>
            </c:strRef>
          </c:tx>
          <c:spPr>
            <a:ln w="22225" cap="rnd">
              <a:solidFill>
                <a:schemeClr val="accent1">
                  <a:lumMod val="40000"/>
                  <a:lumOff val="60000"/>
                </a:schemeClr>
              </a:solidFill>
              <a:prstDash val="solid"/>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Sex'!$R$47:$AA$47</c:f>
              <c:numCache>
                <c:formatCode>0.0</c:formatCode>
                <c:ptCount val="10"/>
                <c:pt idx="0">
                  <c:v>9.5254424568021197</c:v>
                </c:pt>
                <c:pt idx="1">
                  <c:v>9.5243431004538106</c:v>
                </c:pt>
                <c:pt idx="2">
                  <c:v>9.8484433988072393</c:v>
                </c:pt>
                <c:pt idx="3">
                  <c:v>10.1162481142959</c:v>
                </c:pt>
                <c:pt idx="4">
                  <c:v>7.7496684864036398</c:v>
                </c:pt>
                <c:pt idx="5">
                  <c:v>9.4530498523997508</c:v>
                </c:pt>
                <c:pt idx="6">
                  <c:v>8.9415446518385995</c:v>
                </c:pt>
                <c:pt idx="7">
                  <c:v>9.2238158926347804</c:v>
                </c:pt>
                <c:pt idx="8">
                  <c:v>9.6410560664491296</c:v>
                </c:pt>
                <c:pt idx="9">
                  <c:v>9.1626222279488605</c:v>
                </c:pt>
              </c:numCache>
            </c:numRef>
          </c:val>
          <c:smooth val="0"/>
        </c:ser>
        <c:dLbls>
          <c:showLegendKey val="0"/>
          <c:showVal val="0"/>
          <c:showCatName val="0"/>
          <c:showSerName val="0"/>
          <c:showPercent val="0"/>
          <c:showBubbleSize val="0"/>
        </c:dLbls>
        <c:smooth val="0"/>
        <c:axId val="604868608"/>
        <c:axId val="603163016"/>
      </c:lineChart>
      <c:catAx>
        <c:axId val="604868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3163016"/>
        <c:crosses val="autoZero"/>
        <c:auto val="1"/>
        <c:lblAlgn val="ctr"/>
        <c:lblOffset val="100"/>
        <c:tickLblSkip val="3"/>
        <c:noMultiLvlLbl val="0"/>
      </c:catAx>
      <c:valAx>
        <c:axId val="603163016"/>
        <c:scaling>
          <c:orientation val="minMax"/>
          <c:max val="3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4868608"/>
        <c:crosses val="autoZero"/>
        <c:crossBetween val="between"/>
        <c:majorUnit val="5"/>
      </c:valAx>
      <c:spPr>
        <a:noFill/>
        <a:ln w="25400">
          <a:noFill/>
        </a:ln>
        <a:effectLst/>
      </c:spPr>
    </c:plotArea>
    <c:legend>
      <c:legendPos val="r"/>
      <c:layout>
        <c:manualLayout>
          <c:xMode val="edge"/>
          <c:yMode val="edge"/>
          <c:x val="0.84136734006734004"/>
          <c:y val="2.9974878140232464E-2"/>
          <c:w val="0.15863269230769231"/>
          <c:h val="0.362820370370370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4803149606299213" l="0.70866141732283472" r="0.70866141732283472" t="0.74803149606299213" header="0.31496062992125984" footer="0.31496062992125984"/>
    <c:pageSetup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65+ years</a:t>
            </a:r>
          </a:p>
        </c:rich>
      </c:tx>
      <c:layout>
        <c:manualLayout>
          <c:xMode val="edge"/>
          <c:yMode val="edge"/>
          <c:x val="0.38938030465721263"/>
          <c:y val="4.2110475339950902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067980191493777"/>
          <c:y val="0.17097350355839042"/>
          <c:w val="0.82727438433313905"/>
          <c:h val="0.66546388888888885"/>
        </c:manualLayout>
      </c:layout>
      <c:lineChart>
        <c:grouping val="standard"/>
        <c:varyColors val="0"/>
        <c:ser>
          <c:idx val="0"/>
          <c:order val="0"/>
          <c:tx>
            <c:strRef>
              <c:f>'Age Sex'!$O$49</c:f>
              <c:strCache>
                <c:ptCount val="1"/>
                <c:pt idx="0">
                  <c:v>Male</c:v>
                </c:pt>
              </c:strCache>
            </c:strRef>
          </c:tx>
          <c:spPr>
            <a:ln w="22225" cap="rnd">
              <a:solidFill>
                <a:schemeClr val="bg1">
                  <a:lumMod val="50000"/>
                </a:schemeClr>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Sex'!$R$52:$AA$52</c:f>
              <c:numCache>
                <c:formatCode>0.0</c:formatCode>
                <c:ptCount val="10"/>
                <c:pt idx="0">
                  <c:v>17.793594306049801</c:v>
                </c:pt>
                <c:pt idx="1">
                  <c:v>14.890800794176</c:v>
                </c:pt>
                <c:pt idx="2">
                  <c:v>16.489703989704001</c:v>
                </c:pt>
                <c:pt idx="3">
                  <c:v>16.766093500214399</c:v>
                </c:pt>
                <c:pt idx="4">
                  <c:v>11.676082862523501</c:v>
                </c:pt>
                <c:pt idx="5">
                  <c:v>15.527389593038</c:v>
                </c:pt>
                <c:pt idx="6">
                  <c:v>16.625103906899401</c:v>
                </c:pt>
                <c:pt idx="7">
                  <c:v>16.2817743811264</c:v>
                </c:pt>
                <c:pt idx="8">
                  <c:v>15.671474717753499</c:v>
                </c:pt>
                <c:pt idx="9">
                  <c:v>16.005909874415199</c:v>
                </c:pt>
              </c:numCache>
            </c:numRef>
          </c:val>
          <c:smooth val="0"/>
        </c:ser>
        <c:ser>
          <c:idx val="1"/>
          <c:order val="1"/>
          <c:tx>
            <c:strRef>
              <c:f>'Age Sex'!$O$54</c:f>
              <c:strCache>
                <c:ptCount val="1"/>
                <c:pt idx="0">
                  <c:v>Female</c:v>
                </c:pt>
              </c:strCache>
            </c:strRef>
          </c:tx>
          <c:spPr>
            <a:ln w="22225" cap="rnd">
              <a:solidFill>
                <a:schemeClr val="accent1"/>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Sex'!$R$57:$AA$57</c:f>
              <c:numCache>
                <c:formatCode>0.0</c:formatCode>
                <c:ptCount val="10"/>
                <c:pt idx="0">
                  <c:v>2.7696036004846798</c:v>
                </c:pt>
                <c:pt idx="1">
                  <c:v>5.1070784106772003</c:v>
                </c:pt>
                <c:pt idx="2">
                  <c:v>4.3381052491073504</c:v>
                </c:pt>
                <c:pt idx="3">
                  <c:v>4.5607062579405104</c:v>
                </c:pt>
                <c:pt idx="4">
                  <c:v>4.4406381831446096</c:v>
                </c:pt>
                <c:pt idx="5">
                  <c:v>4.2935565982764397</c:v>
                </c:pt>
                <c:pt idx="6">
                  <c:v>2.36987883994431</c:v>
                </c:pt>
                <c:pt idx="7">
                  <c:v>3.1469931910511</c:v>
                </c:pt>
                <c:pt idx="8">
                  <c:v>4.42575791104227</c:v>
                </c:pt>
                <c:pt idx="9">
                  <c:v>3.2110459982339199</c:v>
                </c:pt>
              </c:numCache>
            </c:numRef>
          </c:val>
          <c:smooth val="0"/>
        </c:ser>
        <c:dLbls>
          <c:showLegendKey val="0"/>
          <c:showVal val="0"/>
          <c:showCatName val="0"/>
          <c:showSerName val="0"/>
          <c:showPercent val="0"/>
          <c:showBubbleSize val="0"/>
        </c:dLbls>
        <c:smooth val="0"/>
        <c:axId val="609384208"/>
        <c:axId val="609381464"/>
      </c:lineChart>
      <c:catAx>
        <c:axId val="6093842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1464"/>
        <c:crosses val="autoZero"/>
        <c:auto val="1"/>
        <c:lblAlgn val="ctr"/>
        <c:lblOffset val="100"/>
        <c:tickLblSkip val="3"/>
        <c:noMultiLvlLbl val="0"/>
      </c:catAx>
      <c:valAx>
        <c:axId val="609381464"/>
        <c:scaling>
          <c:orientation val="minMax"/>
          <c:max val="5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4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15–24 years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6952380952381"/>
          <c:y val="0.26875416357708642"/>
          <c:w val="0.8088251185975126"/>
          <c:h val="0.58881254193001653"/>
        </c:manualLayout>
      </c:layout>
      <c:lineChart>
        <c:grouping val="standard"/>
        <c:varyColors val="0"/>
        <c:ser>
          <c:idx val="0"/>
          <c:order val="0"/>
          <c:tx>
            <c:strRef>
              <c:f>'Age Sex'!$O$49</c:f>
              <c:strCache>
                <c:ptCount val="1"/>
                <c:pt idx="0">
                  <c:v>Male</c:v>
                </c:pt>
              </c:strCache>
            </c:strRef>
          </c:tx>
          <c:spPr>
            <a:ln w="22225" cap="rnd">
              <a:solidFill>
                <a:schemeClr val="bg1">
                  <a:lumMod val="50000"/>
                </a:schemeClr>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Sex'!$R$49:$AA$49</c:f>
              <c:numCache>
                <c:formatCode>0.0</c:formatCode>
                <c:ptCount val="10"/>
                <c:pt idx="0">
                  <c:v>23.2421107764829</c:v>
                </c:pt>
                <c:pt idx="1">
                  <c:v>27.1899364476184</c:v>
                </c:pt>
                <c:pt idx="2">
                  <c:v>30.900338277387501</c:v>
                </c:pt>
                <c:pt idx="3">
                  <c:v>24.6945255123312</c:v>
                </c:pt>
                <c:pt idx="4">
                  <c:v>30.454920373072799</c:v>
                </c:pt>
                <c:pt idx="5">
                  <c:v>33.785917271866097</c:v>
                </c:pt>
                <c:pt idx="6">
                  <c:v>22.8189178206371</c:v>
                </c:pt>
                <c:pt idx="7">
                  <c:v>20.7096086493071</c:v>
                </c:pt>
                <c:pt idx="8">
                  <c:v>20.629494282683002</c:v>
                </c:pt>
                <c:pt idx="9">
                  <c:v>24.838262476894599</c:v>
                </c:pt>
              </c:numCache>
            </c:numRef>
          </c:val>
          <c:smooth val="0"/>
        </c:ser>
        <c:ser>
          <c:idx val="1"/>
          <c:order val="1"/>
          <c:tx>
            <c:strRef>
              <c:f>'Age Sex'!$O$54</c:f>
              <c:strCache>
                <c:ptCount val="1"/>
                <c:pt idx="0">
                  <c:v>Female</c:v>
                </c:pt>
              </c:strCache>
            </c:strRef>
          </c:tx>
          <c:spPr>
            <a:ln w="22225" cap="rnd">
              <a:solidFill>
                <a:schemeClr val="accent1"/>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Sex'!$R$54:$AA$54</c:f>
              <c:numCache>
                <c:formatCode>0.0</c:formatCode>
                <c:ptCount val="10"/>
                <c:pt idx="0">
                  <c:v>7.64119601328904</c:v>
                </c:pt>
                <c:pt idx="1">
                  <c:v>12.6132704882663</c:v>
                </c:pt>
                <c:pt idx="2">
                  <c:v>6.9318369367882502</c:v>
                </c:pt>
                <c:pt idx="3">
                  <c:v>11.1103849421606</c:v>
                </c:pt>
                <c:pt idx="4">
                  <c:v>11.056551006471301</c:v>
                </c:pt>
                <c:pt idx="5">
                  <c:v>13.3238008579228</c:v>
                </c:pt>
                <c:pt idx="6">
                  <c:v>12.3120787973043</c:v>
                </c:pt>
                <c:pt idx="7">
                  <c:v>6.7275348390197003</c:v>
                </c:pt>
                <c:pt idx="8">
                  <c:v>12.9239692346488</c:v>
                </c:pt>
                <c:pt idx="9">
                  <c:v>8.07930145116684</c:v>
                </c:pt>
              </c:numCache>
            </c:numRef>
          </c:val>
          <c:smooth val="0"/>
        </c:ser>
        <c:dLbls>
          <c:showLegendKey val="0"/>
          <c:showVal val="0"/>
          <c:showCatName val="0"/>
          <c:showSerName val="0"/>
          <c:showPercent val="0"/>
          <c:showBubbleSize val="0"/>
        </c:dLbls>
        <c:smooth val="0"/>
        <c:axId val="609381072"/>
        <c:axId val="609383816"/>
      </c:lineChart>
      <c:catAx>
        <c:axId val="609381072"/>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3816"/>
        <c:crossesAt val="0"/>
        <c:auto val="1"/>
        <c:lblAlgn val="ctr"/>
        <c:lblOffset val="100"/>
        <c:tickLblSkip val="3"/>
        <c:noMultiLvlLbl val="0"/>
      </c:catAx>
      <c:valAx>
        <c:axId val="609383816"/>
        <c:scaling>
          <c:orientation val="minMax"/>
          <c:max val="5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1072"/>
        <c:crosses val="autoZero"/>
        <c:crossBetween val="between"/>
        <c:majorUnit val="10"/>
      </c:valAx>
      <c:spPr>
        <a:noFill/>
        <a:ln>
          <a:noFill/>
        </a:ln>
        <a:effectLst/>
      </c:spPr>
    </c:plotArea>
    <c:legend>
      <c:legendPos val="t"/>
      <c:layout>
        <c:manualLayout>
          <c:xMode val="edge"/>
          <c:yMode val="edge"/>
          <c:x val="0.72399854601831382"/>
          <c:y val="9.6750350152419284E-2"/>
          <c:w val="0.27331379086483676"/>
          <c:h val="0.162801219354307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25–44 years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9201447120571"/>
          <c:y val="0.24649060527625127"/>
          <c:w val="0.81941843366322098"/>
          <c:h val="0.59696467404976605"/>
        </c:manualLayout>
      </c:layout>
      <c:lineChart>
        <c:grouping val="standard"/>
        <c:varyColors val="0"/>
        <c:ser>
          <c:idx val="0"/>
          <c:order val="0"/>
          <c:tx>
            <c:strRef>
              <c:f>'Age Sex'!$O$49</c:f>
              <c:strCache>
                <c:ptCount val="1"/>
                <c:pt idx="0">
                  <c:v>Male</c:v>
                </c:pt>
              </c:strCache>
            </c:strRef>
          </c:tx>
          <c:spPr>
            <a:ln w="22225" cap="rnd">
              <a:solidFill>
                <a:schemeClr val="bg1">
                  <a:lumMod val="50000"/>
                </a:schemeClr>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Sex'!$R$50:$AA$50</c:f>
              <c:numCache>
                <c:formatCode>0.0</c:formatCode>
                <c:ptCount val="10"/>
                <c:pt idx="0">
                  <c:v>29.127756103588901</c:v>
                </c:pt>
                <c:pt idx="1">
                  <c:v>23.638140940193701</c:v>
                </c:pt>
                <c:pt idx="2">
                  <c:v>23.565116486655398</c:v>
                </c:pt>
                <c:pt idx="3">
                  <c:v>26.170033519152501</c:v>
                </c:pt>
                <c:pt idx="4">
                  <c:v>23.499213680157599</c:v>
                </c:pt>
                <c:pt idx="5">
                  <c:v>26.0701524101218</c:v>
                </c:pt>
                <c:pt idx="6">
                  <c:v>20.807476089654699</c:v>
                </c:pt>
                <c:pt idx="7">
                  <c:v>25.150453606395399</c:v>
                </c:pt>
                <c:pt idx="8">
                  <c:v>23.9192681053146</c:v>
                </c:pt>
                <c:pt idx="9">
                  <c:v>23.9351391440659</c:v>
                </c:pt>
              </c:numCache>
            </c:numRef>
          </c:val>
          <c:smooth val="0"/>
        </c:ser>
        <c:ser>
          <c:idx val="1"/>
          <c:order val="1"/>
          <c:tx>
            <c:strRef>
              <c:f>'Age Sex'!$O$54</c:f>
              <c:strCache>
                <c:ptCount val="1"/>
                <c:pt idx="0">
                  <c:v>Female</c:v>
                </c:pt>
              </c:strCache>
            </c:strRef>
          </c:tx>
          <c:spPr>
            <a:ln w="22225" cap="rnd">
              <a:solidFill>
                <a:schemeClr val="accent1"/>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Sex'!$R$55:$AA$55</c:f>
              <c:numCache>
                <c:formatCode>0.0</c:formatCode>
                <c:ptCount val="10"/>
                <c:pt idx="0">
                  <c:v>7.8448036347590202</c:v>
                </c:pt>
                <c:pt idx="1">
                  <c:v>8.05722272465675</c:v>
                </c:pt>
                <c:pt idx="2">
                  <c:v>6.7636675574911704</c:v>
                </c:pt>
                <c:pt idx="3">
                  <c:v>8.7568567840856506</c:v>
                </c:pt>
                <c:pt idx="4">
                  <c:v>5.4831848996410999</c:v>
                </c:pt>
                <c:pt idx="5">
                  <c:v>7.1972550004184503</c:v>
                </c:pt>
                <c:pt idx="6">
                  <c:v>7.8847153953262099</c:v>
                </c:pt>
                <c:pt idx="7">
                  <c:v>8.3223755388738194</c:v>
                </c:pt>
                <c:pt idx="8">
                  <c:v>5.8878367106618903</c:v>
                </c:pt>
                <c:pt idx="9">
                  <c:v>9.1020870926017601</c:v>
                </c:pt>
              </c:numCache>
            </c:numRef>
          </c:val>
          <c:smooth val="0"/>
        </c:ser>
        <c:dLbls>
          <c:showLegendKey val="0"/>
          <c:showVal val="0"/>
          <c:showCatName val="0"/>
          <c:showSerName val="0"/>
          <c:showPercent val="0"/>
          <c:showBubbleSize val="0"/>
        </c:dLbls>
        <c:smooth val="0"/>
        <c:axId val="609383032"/>
        <c:axId val="609385776"/>
      </c:lineChart>
      <c:catAx>
        <c:axId val="609383032"/>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5776"/>
        <c:crossesAt val="0"/>
        <c:auto val="1"/>
        <c:lblAlgn val="ctr"/>
        <c:lblOffset val="100"/>
        <c:tickLblSkip val="3"/>
        <c:noMultiLvlLbl val="0"/>
      </c:catAx>
      <c:valAx>
        <c:axId val="609385776"/>
        <c:scaling>
          <c:orientation val="minMax"/>
          <c:max val="5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303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45–64 years</a:t>
            </a:r>
          </a:p>
        </c:rich>
      </c:tx>
      <c:layout>
        <c:manualLayout>
          <c:xMode val="edge"/>
          <c:yMode val="edge"/>
          <c:x val="0.33933116972249516"/>
          <c:y val="5.6669400699912519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473815378755889"/>
          <c:y val="0.17093611111111112"/>
          <c:w val="0.81529801842552729"/>
          <c:h val="0.67251944444444445"/>
        </c:manualLayout>
      </c:layout>
      <c:lineChart>
        <c:grouping val="standard"/>
        <c:varyColors val="0"/>
        <c:ser>
          <c:idx val="0"/>
          <c:order val="0"/>
          <c:tx>
            <c:strRef>
              <c:f>'Age Sex'!$O$49</c:f>
              <c:strCache>
                <c:ptCount val="1"/>
                <c:pt idx="0">
                  <c:v>Male</c:v>
                </c:pt>
              </c:strCache>
            </c:strRef>
          </c:tx>
          <c:spPr>
            <a:ln w="22225" cap="rnd">
              <a:solidFill>
                <a:schemeClr val="bg1">
                  <a:lumMod val="50000"/>
                </a:schemeClr>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Sex'!$R$51:$AA$51</c:f>
              <c:numCache>
                <c:formatCode>0.0</c:formatCode>
                <c:ptCount val="10"/>
                <c:pt idx="0">
                  <c:v>20.267853594563402</c:v>
                </c:pt>
                <c:pt idx="1">
                  <c:v>24.221050999845001</c:v>
                </c:pt>
                <c:pt idx="2">
                  <c:v>22.752265746463902</c:v>
                </c:pt>
                <c:pt idx="3">
                  <c:v>21.966566141703002</c:v>
                </c:pt>
                <c:pt idx="4">
                  <c:v>21.4970786021387</c:v>
                </c:pt>
                <c:pt idx="5">
                  <c:v>19.170029028901101</c:v>
                </c:pt>
                <c:pt idx="6">
                  <c:v>23.546885471571699</c:v>
                </c:pt>
                <c:pt idx="7">
                  <c:v>21.489971346704898</c:v>
                </c:pt>
                <c:pt idx="8">
                  <c:v>22.1094150733148</c:v>
                </c:pt>
                <c:pt idx="9">
                  <c:v>22.152064328199401</c:v>
                </c:pt>
              </c:numCache>
            </c:numRef>
          </c:val>
          <c:smooth val="0"/>
        </c:ser>
        <c:ser>
          <c:idx val="1"/>
          <c:order val="1"/>
          <c:tx>
            <c:strRef>
              <c:f>'Age Sex'!$O$54</c:f>
              <c:strCache>
                <c:ptCount val="1"/>
                <c:pt idx="0">
                  <c:v>Female</c:v>
                </c:pt>
              </c:strCache>
            </c:strRef>
          </c:tx>
          <c:spPr>
            <a:ln w="22225" cap="rnd">
              <a:solidFill>
                <a:schemeClr val="accent1"/>
              </a:solidFill>
              <a:round/>
            </a:ln>
            <a:effectLst/>
          </c:spPr>
          <c:marker>
            <c:symbol val="none"/>
          </c:marker>
          <c:cat>
            <c:numRef>
              <c:f>'Age Sex'!$R$27:$AA$27</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'Age Sex'!$R$56:$AA$56</c:f>
              <c:numCache>
                <c:formatCode>0.0</c:formatCode>
                <c:ptCount val="10"/>
                <c:pt idx="0">
                  <c:v>7.6637161359543198</c:v>
                </c:pt>
                <c:pt idx="1">
                  <c:v>6.3251106894370697</c:v>
                </c:pt>
                <c:pt idx="2">
                  <c:v>7.0749582758870897</c:v>
                </c:pt>
                <c:pt idx="3">
                  <c:v>7.6322328718494896</c:v>
                </c:pt>
                <c:pt idx="4">
                  <c:v>5.7582578652567697</c:v>
                </c:pt>
                <c:pt idx="5">
                  <c:v>7.2452517724990901</c:v>
                </c:pt>
                <c:pt idx="6">
                  <c:v>9.0334236675700108</c:v>
                </c:pt>
                <c:pt idx="7">
                  <c:v>7.5585789871504199</c:v>
                </c:pt>
                <c:pt idx="8">
                  <c:v>7.6087136311758803</c:v>
                </c:pt>
                <c:pt idx="9">
                  <c:v>6.9892560505827097</c:v>
                </c:pt>
              </c:numCache>
            </c:numRef>
          </c:val>
          <c:smooth val="0"/>
        </c:ser>
        <c:dLbls>
          <c:showLegendKey val="0"/>
          <c:showVal val="0"/>
          <c:showCatName val="0"/>
          <c:showSerName val="0"/>
          <c:showPercent val="0"/>
          <c:showBubbleSize val="0"/>
        </c:dLbls>
        <c:smooth val="0"/>
        <c:axId val="609384992"/>
        <c:axId val="609383424"/>
      </c:lineChart>
      <c:catAx>
        <c:axId val="60938499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3424"/>
        <c:crosses val="autoZero"/>
        <c:auto val="1"/>
        <c:lblAlgn val="ctr"/>
        <c:lblOffset val="100"/>
        <c:tickLblSkip val="3"/>
        <c:noMultiLvlLbl val="0"/>
      </c:catAx>
      <c:valAx>
        <c:axId val="609383424"/>
        <c:scaling>
          <c:orientation val="minMax"/>
          <c:max val="5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4992"/>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7501906148203E-2"/>
          <c:y val="0.19162499999999999"/>
          <c:w val="0.83769564011922093"/>
          <c:h val="0.64429722222222219"/>
        </c:manualLayout>
      </c:layout>
      <c:lineChart>
        <c:grouping val="standard"/>
        <c:varyColors val="0"/>
        <c:ser>
          <c:idx val="0"/>
          <c:order val="0"/>
          <c:tx>
            <c:strRef>
              <c:f>'Māori Non-Māori'!$O$9</c:f>
              <c:strCache>
                <c:ptCount val="1"/>
                <c:pt idx="0">
                  <c:v>Māori</c:v>
                </c:pt>
              </c:strCache>
            </c:strRef>
          </c:tx>
          <c:spPr>
            <a:ln w="22225" cap="rnd">
              <a:solidFill>
                <a:schemeClr val="bg1">
                  <a:lumMod val="65000"/>
                </a:schemeClr>
              </a:solidFill>
              <a:round/>
            </a:ln>
            <a:effectLst/>
          </c:spPr>
          <c:marker>
            <c:symbol val="none"/>
          </c:marker>
          <c:errBars>
            <c:errDir val="y"/>
            <c:errBarType val="both"/>
            <c:errValType val="cust"/>
            <c:noEndCap val="0"/>
            <c:plus>
              <c:numRef>
                <c:f>'Māori Non-Māori'!$BL$10:$BU$10</c:f>
                <c:numCache>
                  <c:formatCode>General</c:formatCode>
                  <c:ptCount val="10"/>
                  <c:pt idx="0">
                    <c:v>3.2</c:v>
                  </c:pt>
                  <c:pt idx="1">
                    <c:v>2.9</c:v>
                  </c:pt>
                  <c:pt idx="2">
                    <c:v>2.8</c:v>
                  </c:pt>
                  <c:pt idx="3">
                    <c:v>3.1</c:v>
                  </c:pt>
                  <c:pt idx="4">
                    <c:v>3.2</c:v>
                  </c:pt>
                  <c:pt idx="5">
                    <c:v>3.2</c:v>
                  </c:pt>
                  <c:pt idx="6">
                    <c:v>3</c:v>
                  </c:pt>
                  <c:pt idx="7">
                    <c:v>3</c:v>
                  </c:pt>
                  <c:pt idx="8">
                    <c:v>3.2</c:v>
                  </c:pt>
                  <c:pt idx="9">
                    <c:v>3.4</c:v>
                  </c:pt>
                </c:numCache>
              </c:numRef>
            </c:plus>
            <c:minus>
              <c:numRef>
                <c:f>'Māori Non-Māori'!$BL$10:$BU$10</c:f>
                <c:numCache>
                  <c:formatCode>General</c:formatCode>
                  <c:ptCount val="10"/>
                  <c:pt idx="0">
                    <c:v>3.2</c:v>
                  </c:pt>
                  <c:pt idx="1">
                    <c:v>2.9</c:v>
                  </c:pt>
                  <c:pt idx="2">
                    <c:v>2.8</c:v>
                  </c:pt>
                  <c:pt idx="3">
                    <c:v>3.1</c:v>
                  </c:pt>
                  <c:pt idx="4">
                    <c:v>3.2</c:v>
                  </c:pt>
                  <c:pt idx="5">
                    <c:v>3.2</c:v>
                  </c:pt>
                  <c:pt idx="6">
                    <c:v>3</c:v>
                  </c:pt>
                  <c:pt idx="7">
                    <c:v>3</c:v>
                  </c:pt>
                  <c:pt idx="8">
                    <c:v>3.2</c:v>
                  </c:pt>
                  <c:pt idx="9">
                    <c:v>3.4</c:v>
                  </c:pt>
                </c:numCache>
              </c:numRef>
            </c:minus>
            <c:spPr>
              <a:noFill/>
              <a:ln w="9525" cap="flat" cmpd="sng" algn="ctr">
                <a:solidFill>
                  <a:schemeClr val="tx1">
                    <a:lumMod val="65000"/>
                    <a:lumOff val="35000"/>
                  </a:schemeClr>
                </a:solidFill>
                <a:round/>
              </a:ln>
              <a:effectLst/>
            </c:spPr>
          </c:errBars>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Non-Māori'!$S$15:$AB$15</c:f>
              <c:numCache>
                <c:formatCode>0.0</c:formatCode>
                <c:ptCount val="10"/>
                <c:pt idx="0">
                  <c:v>16.111509144203101</c:v>
                </c:pt>
                <c:pt idx="1">
                  <c:v>14.0105109663824</c:v>
                </c:pt>
                <c:pt idx="2">
                  <c:v>13.081017831193</c:v>
                </c:pt>
                <c:pt idx="3">
                  <c:v>15.806302990390501</c:v>
                </c:pt>
                <c:pt idx="4">
                  <c:v>17.366835060391999</c:v>
                </c:pt>
                <c:pt idx="5">
                  <c:v>17.627168762910401</c:v>
                </c:pt>
                <c:pt idx="6">
                  <c:v>15.8165730495112</c:v>
                </c:pt>
                <c:pt idx="7">
                  <c:v>14.573975403997499</c:v>
                </c:pt>
                <c:pt idx="8">
                  <c:v>17.835459808531901</c:v>
                </c:pt>
                <c:pt idx="9">
                  <c:v>20.2849765886093</c:v>
                </c:pt>
              </c:numCache>
            </c:numRef>
          </c:val>
          <c:smooth val="0"/>
        </c:ser>
        <c:ser>
          <c:idx val="1"/>
          <c:order val="1"/>
          <c:tx>
            <c:strRef>
              <c:f>'Māori Non-Māori'!$O$19</c:f>
              <c:strCache>
                <c:ptCount val="1"/>
                <c:pt idx="0">
                  <c:v>Non-Māori</c:v>
                </c:pt>
              </c:strCache>
            </c:strRef>
          </c:tx>
          <c:spPr>
            <a:ln w="22225" cap="rnd">
              <a:solidFill>
                <a:schemeClr val="accent1"/>
              </a:solidFill>
              <a:round/>
            </a:ln>
            <a:effectLst/>
          </c:spPr>
          <c:marker>
            <c:symbol val="none"/>
          </c:marker>
          <c:errBars>
            <c:errDir val="y"/>
            <c:errBarType val="both"/>
            <c:errValType val="cust"/>
            <c:noEndCap val="0"/>
            <c:plus>
              <c:numRef>
                <c:f>'Māori Non-Māori'!$BL$18:$BU$18</c:f>
                <c:numCache>
                  <c:formatCode>General</c:formatCode>
                  <c:ptCount val="10"/>
                  <c:pt idx="0">
                    <c:v>1</c:v>
                  </c:pt>
                  <c:pt idx="1">
                    <c:v>1.1000000000000001</c:v>
                  </c:pt>
                  <c:pt idx="2">
                    <c:v>1</c:v>
                  </c:pt>
                  <c:pt idx="3">
                    <c:v>1</c:v>
                  </c:pt>
                  <c:pt idx="4">
                    <c:v>1</c:v>
                  </c:pt>
                  <c:pt idx="5">
                    <c:v>1</c:v>
                  </c:pt>
                  <c:pt idx="6">
                    <c:v>0.9</c:v>
                  </c:pt>
                  <c:pt idx="7">
                    <c:v>0.9</c:v>
                  </c:pt>
                  <c:pt idx="8">
                    <c:v>0.9</c:v>
                  </c:pt>
                  <c:pt idx="9">
                    <c:v>0.9</c:v>
                  </c:pt>
                </c:numCache>
              </c:numRef>
            </c:plus>
            <c:minus>
              <c:numRef>
                <c:f>'Māori Non-Māori'!$BL$18:$BU$18</c:f>
                <c:numCache>
                  <c:formatCode>General</c:formatCode>
                  <c:ptCount val="10"/>
                  <c:pt idx="0">
                    <c:v>1</c:v>
                  </c:pt>
                  <c:pt idx="1">
                    <c:v>1.1000000000000001</c:v>
                  </c:pt>
                  <c:pt idx="2">
                    <c:v>1</c:v>
                  </c:pt>
                  <c:pt idx="3">
                    <c:v>1</c:v>
                  </c:pt>
                  <c:pt idx="4">
                    <c:v>1</c:v>
                  </c:pt>
                  <c:pt idx="5">
                    <c:v>1</c:v>
                  </c:pt>
                  <c:pt idx="6">
                    <c:v>0.9</c:v>
                  </c:pt>
                  <c:pt idx="7">
                    <c:v>0.9</c:v>
                  </c:pt>
                  <c:pt idx="8">
                    <c:v>0.9</c:v>
                  </c:pt>
                  <c:pt idx="9">
                    <c:v>0.9</c:v>
                  </c:pt>
                </c:numCache>
              </c:numRef>
            </c:minus>
            <c:spPr>
              <a:noFill/>
              <a:ln w="9525" cap="flat" cmpd="sng" algn="ctr">
                <a:solidFill>
                  <a:schemeClr val="tx1">
                    <a:lumMod val="65000"/>
                    <a:lumOff val="35000"/>
                  </a:schemeClr>
                </a:solidFill>
                <a:round/>
              </a:ln>
              <a:effectLst/>
            </c:spPr>
          </c:errBars>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Non-Māori'!$S$25:$AB$25</c:f>
              <c:numCache>
                <c:formatCode>0.0</c:formatCode>
                <c:ptCount val="10"/>
                <c:pt idx="0">
                  <c:v>10.318814507971201</c:v>
                </c:pt>
                <c:pt idx="1">
                  <c:v>11.1639267014209</c:v>
                </c:pt>
                <c:pt idx="2">
                  <c:v>10.9175102802797</c:v>
                </c:pt>
                <c:pt idx="3">
                  <c:v>10.8724229875909</c:v>
                </c:pt>
                <c:pt idx="4">
                  <c:v>9.6064019829245701</c:v>
                </c:pt>
                <c:pt idx="5">
                  <c:v>10.8700975052411</c:v>
                </c:pt>
                <c:pt idx="6">
                  <c:v>9.7148957708980408</c:v>
                </c:pt>
                <c:pt idx="7">
                  <c:v>9.8906686786863496</c:v>
                </c:pt>
                <c:pt idx="8">
                  <c:v>9.6236979515482304</c:v>
                </c:pt>
                <c:pt idx="9">
                  <c:v>9.5245939991947992</c:v>
                </c:pt>
              </c:numCache>
            </c:numRef>
          </c:val>
          <c:smooth val="0"/>
        </c:ser>
        <c:dLbls>
          <c:showLegendKey val="0"/>
          <c:showVal val="0"/>
          <c:showCatName val="0"/>
          <c:showSerName val="0"/>
          <c:showPercent val="0"/>
          <c:showBubbleSize val="0"/>
        </c:dLbls>
        <c:smooth val="0"/>
        <c:axId val="609385384"/>
        <c:axId val="609381856"/>
      </c:lineChart>
      <c:catAx>
        <c:axId val="60938538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1856"/>
        <c:crosses val="autoZero"/>
        <c:auto val="1"/>
        <c:lblAlgn val="ctr"/>
        <c:lblOffset val="100"/>
        <c:tickLblSkip val="3"/>
        <c:noMultiLvlLbl val="0"/>
      </c:catAx>
      <c:valAx>
        <c:axId val="609381856"/>
        <c:scaling>
          <c:orientation val="minMax"/>
          <c:max val="4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5384"/>
        <c:crosses val="autoZero"/>
        <c:crossBetween val="between"/>
        <c:majorUnit val="10"/>
      </c:valAx>
      <c:spPr>
        <a:noFill/>
        <a:ln>
          <a:noFill/>
        </a:ln>
        <a:effectLst/>
      </c:spPr>
    </c:plotArea>
    <c:legend>
      <c:legendPos val="r"/>
      <c:layout>
        <c:manualLayout>
          <c:xMode val="edge"/>
          <c:yMode val="edge"/>
          <c:x val="0.83441524462660843"/>
          <c:y val="2.1124646240925322E-2"/>
          <c:w val="0.16331663496655863"/>
          <c:h val="0.16598608205843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9548611111112"/>
          <c:y val="0.15843170234454637"/>
          <c:w val="0.8088251185975126"/>
          <c:h val="0.73165698267074419"/>
        </c:manualLayout>
      </c:layout>
      <c:lineChart>
        <c:grouping val="standard"/>
        <c:varyColors val="0"/>
        <c:ser>
          <c:idx val="2"/>
          <c:order val="0"/>
          <c:tx>
            <c:v>Māori</c:v>
          </c:tx>
          <c:spPr>
            <a:ln w="22225" cap="rnd">
              <a:solidFill>
                <a:schemeClr val="bg1">
                  <a:lumMod val="50000"/>
                </a:schemeClr>
              </a:solidFill>
              <a:round/>
            </a:ln>
            <a:effectLst/>
          </c:spPr>
          <c:marker>
            <c:symbol val="none"/>
          </c:marker>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Non-Māori'!$S$16:$AB$16</c:f>
              <c:numCache>
                <c:formatCode>0.0</c:formatCode>
                <c:ptCount val="10"/>
                <c:pt idx="0">
                  <c:v>25.915091779548401</c:v>
                </c:pt>
                <c:pt idx="1">
                  <c:v>19.8732690696398</c:v>
                </c:pt>
                <c:pt idx="2">
                  <c:v>19.4811396989931</c:v>
                </c:pt>
                <c:pt idx="3">
                  <c:v>23.689392361421</c:v>
                </c:pt>
                <c:pt idx="4">
                  <c:v>26.239623561034499</c:v>
                </c:pt>
                <c:pt idx="5">
                  <c:v>25.657974492525501</c:v>
                </c:pt>
                <c:pt idx="6">
                  <c:v>21.1859227055823</c:v>
                </c:pt>
                <c:pt idx="7">
                  <c:v>22.014569367455099</c:v>
                </c:pt>
                <c:pt idx="8">
                  <c:v>25.5838413177833</c:v>
                </c:pt>
                <c:pt idx="9">
                  <c:v>31.730023026068</c:v>
                </c:pt>
              </c:numCache>
            </c:numRef>
          </c:val>
          <c:smooth val="0"/>
        </c:ser>
        <c:ser>
          <c:idx val="3"/>
          <c:order val="1"/>
          <c:tx>
            <c:v>Non-Māori</c:v>
          </c:tx>
          <c:spPr>
            <a:ln w="22225" cap="rnd">
              <a:solidFill>
                <a:schemeClr val="accent1"/>
              </a:solidFill>
              <a:round/>
            </a:ln>
            <a:effectLst/>
          </c:spPr>
          <c:marker>
            <c:symbol val="none"/>
          </c:marker>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Non-Māori'!$S$26:$AB$26</c:f>
              <c:numCache>
                <c:formatCode>0.0</c:formatCode>
                <c:ptCount val="10"/>
                <c:pt idx="0">
                  <c:v>16.348296242666599</c:v>
                </c:pt>
                <c:pt idx="1">
                  <c:v>17.136851166956198</c:v>
                </c:pt>
                <c:pt idx="2">
                  <c:v>17.704891753148601</c:v>
                </c:pt>
                <c:pt idx="3">
                  <c:v>16.134328558354198</c:v>
                </c:pt>
                <c:pt idx="4">
                  <c:v>15.374728749309</c:v>
                </c:pt>
                <c:pt idx="5">
                  <c:v>16.829965457080299</c:v>
                </c:pt>
                <c:pt idx="6">
                  <c:v>14.441701119553899</c:v>
                </c:pt>
                <c:pt idx="7">
                  <c:v>15.1820100358589</c:v>
                </c:pt>
                <c:pt idx="8">
                  <c:v>14.713503479130599</c:v>
                </c:pt>
                <c:pt idx="9">
                  <c:v>14.310220695280099</c:v>
                </c:pt>
              </c:numCache>
            </c:numRef>
          </c:val>
          <c:smooth val="0"/>
        </c:ser>
        <c:dLbls>
          <c:showLegendKey val="0"/>
          <c:showVal val="0"/>
          <c:showCatName val="0"/>
          <c:showSerName val="0"/>
          <c:showPercent val="0"/>
          <c:showBubbleSize val="0"/>
        </c:dLbls>
        <c:smooth val="0"/>
        <c:axId val="609382640"/>
        <c:axId val="609379112"/>
      </c:lineChart>
      <c:catAx>
        <c:axId val="609382640"/>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79112"/>
        <c:crossesAt val="0"/>
        <c:auto val="1"/>
        <c:lblAlgn val="ctr"/>
        <c:lblOffset val="100"/>
        <c:tickLblSkip val="3"/>
        <c:noMultiLvlLbl val="0"/>
      </c:catAx>
      <c:valAx>
        <c:axId val="609379112"/>
        <c:scaling>
          <c:orientation val="minMax"/>
          <c:max val="4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82640"/>
        <c:crosses val="autoZero"/>
        <c:crossBetween val="between"/>
        <c:majorUnit val="10"/>
      </c:valAx>
      <c:spPr>
        <a:noFill/>
        <a:ln>
          <a:noFill/>
        </a:ln>
        <a:effectLst/>
      </c:spPr>
    </c:plotArea>
    <c:legend>
      <c:legendPos val="r"/>
      <c:layout>
        <c:manualLayout>
          <c:xMode val="edge"/>
          <c:yMode val="edge"/>
          <c:x val="0.67550857338820314"/>
          <c:y val="1.3245419037212866E-2"/>
          <c:w val="0.31360322359396431"/>
          <c:h val="0.203518078947037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15–24 years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16952380952381"/>
          <c:y val="0.33048248737120278"/>
          <c:w val="0.8088251185975126"/>
          <c:h val="0.56470274875923554"/>
        </c:manualLayout>
      </c:layout>
      <c:lineChart>
        <c:grouping val="standard"/>
        <c:varyColors val="0"/>
        <c:ser>
          <c:idx val="2"/>
          <c:order val="0"/>
          <c:spPr>
            <a:ln w="22225" cap="rnd">
              <a:solidFill>
                <a:schemeClr val="bg1">
                  <a:lumMod val="50000"/>
                </a:schemeClr>
              </a:solidFill>
              <a:round/>
            </a:ln>
            <a:effectLst/>
          </c:spPr>
          <c:marker>
            <c:symbol val="none"/>
          </c:marker>
          <c:cat>
            <c:numRef>
              <c:f>'Māori Non-Māori'!$S$83:$AB$83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Non-Māori'!$S$65:$AB$65</c:f>
              <c:numCache>
                <c:formatCode>0.0</c:formatCode>
                <c:ptCount val="10"/>
                <c:pt idx="0">
                  <c:v>27.961362480935399</c:v>
                </c:pt>
                <c:pt idx="1">
                  <c:v>29.247096181164899</c:v>
                </c:pt>
                <c:pt idx="2">
                  <c:v>28.863598878443</c:v>
                </c:pt>
                <c:pt idx="3">
                  <c:v>34.126919639229698</c:v>
                </c:pt>
                <c:pt idx="4">
                  <c:v>39.319531375381203</c:v>
                </c:pt>
                <c:pt idx="5">
                  <c:v>48.389655719498698</c:v>
                </c:pt>
                <c:pt idx="6">
                  <c:v>38.3531621790858</c:v>
                </c:pt>
                <c:pt idx="7">
                  <c:v>21.611608521148501</c:v>
                </c:pt>
                <c:pt idx="8">
                  <c:v>31.7989097516657</c:v>
                </c:pt>
                <c:pt idx="9">
                  <c:v>33.554544776675897</c:v>
                </c:pt>
              </c:numCache>
            </c:numRef>
          </c:val>
          <c:smooth val="0"/>
        </c:ser>
        <c:ser>
          <c:idx val="3"/>
          <c:order val="1"/>
          <c:spPr>
            <a:ln w="22225" cap="rnd">
              <a:solidFill>
                <a:schemeClr val="accent1"/>
              </a:solidFill>
              <a:round/>
            </a:ln>
            <a:effectLst/>
          </c:spPr>
          <c:marker>
            <c:symbol val="none"/>
          </c:marker>
          <c:cat>
            <c:numRef>
              <c:f>'Māori Non-Māori'!$S$83:$AB$83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Non-Māori'!$S$100:$AB$100</c:f>
              <c:numCache>
                <c:formatCode>0.0</c:formatCode>
                <c:ptCount val="10"/>
                <c:pt idx="0">
                  <c:v>12.488228309380499</c:v>
                </c:pt>
                <c:pt idx="1">
                  <c:v>17.6642155855893</c:v>
                </c:pt>
                <c:pt idx="2">
                  <c:v>16.560353287536799</c:v>
                </c:pt>
                <c:pt idx="3">
                  <c:v>13.9464375947448</c:v>
                </c:pt>
                <c:pt idx="4">
                  <c:v>16.261794820317199</c:v>
                </c:pt>
                <c:pt idx="5">
                  <c:v>17.457259812183999</c:v>
                </c:pt>
                <c:pt idx="6">
                  <c:v>12.380438906527701</c:v>
                </c:pt>
                <c:pt idx="7">
                  <c:v>11.938779504442801</c:v>
                </c:pt>
                <c:pt idx="8">
                  <c:v>13.155887736424599</c:v>
                </c:pt>
                <c:pt idx="9">
                  <c:v>12.5482263924786</c:v>
                </c:pt>
              </c:numCache>
            </c:numRef>
          </c:val>
          <c:smooth val="0"/>
        </c:ser>
        <c:dLbls>
          <c:showLegendKey val="0"/>
          <c:showVal val="0"/>
          <c:showCatName val="0"/>
          <c:showSerName val="0"/>
          <c:showPercent val="0"/>
          <c:showBubbleSize val="0"/>
        </c:dLbls>
        <c:smooth val="0"/>
        <c:axId val="609378328"/>
        <c:axId val="609379504"/>
      </c:lineChart>
      <c:catAx>
        <c:axId val="609378328"/>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79504"/>
        <c:crossesAt val="0"/>
        <c:auto val="1"/>
        <c:lblAlgn val="ctr"/>
        <c:lblOffset val="100"/>
        <c:tickLblSkip val="3"/>
        <c:noMultiLvlLbl val="0"/>
      </c:catAx>
      <c:valAx>
        <c:axId val="609379504"/>
        <c:scaling>
          <c:orientation val="minMax"/>
          <c:max val="5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37832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25–44 years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079548611111112"/>
          <c:y val="0.32025638426098024"/>
          <c:w val="0.8088251185975126"/>
          <c:h val="0.58065132416387855"/>
        </c:manualLayout>
      </c:layout>
      <c:lineChart>
        <c:grouping val="standard"/>
        <c:varyColors val="0"/>
        <c:ser>
          <c:idx val="2"/>
          <c:order val="0"/>
          <c:spPr>
            <a:ln w="22225" cap="rnd">
              <a:solidFill>
                <a:schemeClr val="bg1">
                  <a:lumMod val="50000"/>
                </a:schemeClr>
              </a:solidFill>
              <a:round/>
            </a:ln>
            <a:effectLst/>
          </c:spPr>
          <c:marker>
            <c:symbol val="none"/>
          </c:marker>
          <c:cat>
            <c:numRef>
              <c:f>'Māori Non-Māori'!$S$83:$AB$83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Non-Māori'!$S$66:$AB$66</c:f>
              <c:numCache>
                <c:formatCode>0.0</c:formatCode>
                <c:ptCount val="10"/>
                <c:pt idx="0">
                  <c:v>29.570051451889501</c:v>
                </c:pt>
                <c:pt idx="1">
                  <c:v>22.0277430493541</c:v>
                </c:pt>
                <c:pt idx="2">
                  <c:v>18.520731270163701</c:v>
                </c:pt>
                <c:pt idx="3">
                  <c:v>24.4863831820354</c:v>
                </c:pt>
                <c:pt idx="4">
                  <c:v>26.256116481680401</c:v>
                </c:pt>
                <c:pt idx="5">
                  <c:v>23.2641374373658</c:v>
                </c:pt>
                <c:pt idx="6">
                  <c:v>26.227944682880299</c:v>
                </c:pt>
                <c:pt idx="7">
                  <c:v>30.236556589790698</c:v>
                </c:pt>
                <c:pt idx="8">
                  <c:v>31.665982525068902</c:v>
                </c:pt>
                <c:pt idx="9">
                  <c:v>34.173182739646698</c:v>
                </c:pt>
              </c:numCache>
            </c:numRef>
          </c:val>
          <c:smooth val="0"/>
        </c:ser>
        <c:ser>
          <c:idx val="3"/>
          <c:order val="1"/>
          <c:spPr>
            <a:ln w="22225" cap="rnd">
              <a:solidFill>
                <a:schemeClr val="accent1"/>
              </a:solidFill>
              <a:round/>
            </a:ln>
            <a:effectLst/>
          </c:spPr>
          <c:marker>
            <c:symbol val="none"/>
          </c:marker>
          <c:cat>
            <c:numRef>
              <c:f>'Māori Non-Māori'!$S$83:$AB$83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Non-Māori'!$S$101:$AB$101</c:f>
              <c:numCache>
                <c:formatCode>0.0</c:formatCode>
                <c:ptCount val="10"/>
                <c:pt idx="0">
                  <c:v>16.1504468620574</c:v>
                </c:pt>
                <c:pt idx="1">
                  <c:v>14.4589366199992</c:v>
                </c:pt>
                <c:pt idx="2">
                  <c:v>14.2147833747097</c:v>
                </c:pt>
                <c:pt idx="3">
                  <c:v>15.868392772850999</c:v>
                </c:pt>
                <c:pt idx="4">
                  <c:v>12.051121058068199</c:v>
                </c:pt>
                <c:pt idx="5">
                  <c:v>15.025451274608001</c:v>
                </c:pt>
                <c:pt idx="6">
                  <c:v>11.9851261511355</c:v>
                </c:pt>
                <c:pt idx="7">
                  <c:v>14.0580120555039</c:v>
                </c:pt>
                <c:pt idx="8">
                  <c:v>11.739636564528499</c:v>
                </c:pt>
                <c:pt idx="9">
                  <c:v>13.373325946162799</c:v>
                </c:pt>
              </c:numCache>
            </c:numRef>
          </c:val>
          <c:smooth val="0"/>
        </c:ser>
        <c:dLbls>
          <c:showLegendKey val="0"/>
          <c:showVal val="0"/>
          <c:showCatName val="0"/>
          <c:showSerName val="0"/>
          <c:showPercent val="0"/>
          <c:showBubbleSize val="0"/>
        </c:dLbls>
        <c:smooth val="0"/>
        <c:axId val="603771728"/>
        <c:axId val="603164584"/>
      </c:lineChart>
      <c:catAx>
        <c:axId val="603771728"/>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3164584"/>
        <c:crossesAt val="0"/>
        <c:auto val="1"/>
        <c:lblAlgn val="ctr"/>
        <c:lblOffset val="100"/>
        <c:tickLblSkip val="3"/>
        <c:noMultiLvlLbl val="0"/>
      </c:catAx>
      <c:valAx>
        <c:axId val="603164584"/>
        <c:scaling>
          <c:orientation val="minMax"/>
          <c:max val="5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377172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NZ" sz="900" b="1">
                <a:solidFill>
                  <a:sysClr val="windowText" lastClr="000000"/>
                </a:solidFill>
              </a:rPr>
              <a:t>45–64 years</a:t>
            </a: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740785801188005"/>
          <c:y val="0.16671326798435909"/>
          <c:w val="0.8088251185975126"/>
          <c:h val="0.6831685932875412"/>
        </c:manualLayout>
      </c:layout>
      <c:lineChart>
        <c:grouping val="standard"/>
        <c:varyColors val="0"/>
        <c:ser>
          <c:idx val="2"/>
          <c:order val="0"/>
          <c:spPr>
            <a:ln w="22225" cap="rnd">
              <a:solidFill>
                <a:schemeClr val="bg1">
                  <a:lumMod val="50000"/>
                </a:schemeClr>
              </a:solidFill>
              <a:round/>
            </a:ln>
            <a:effectLst/>
          </c:spPr>
          <c:marker>
            <c:symbol val="none"/>
          </c:marker>
          <c:cat>
            <c:numRef>
              <c:f>'Māori Non-Māori'!$S$83:$AB$83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Non-Māori'!$S$67:$AB$67</c:f>
              <c:numCache>
                <c:formatCode>0.0</c:formatCode>
                <c:ptCount val="10"/>
                <c:pt idx="0">
                  <c:v>11.773940345368899</c:v>
                </c:pt>
                <c:pt idx="1">
                  <c:v>9.3624192491339802</c:v>
                </c:pt>
                <c:pt idx="2">
                  <c:v>9.8858632156016899</c:v>
                </c:pt>
                <c:pt idx="3">
                  <c:v>12.978023879563899</c:v>
                </c:pt>
                <c:pt idx="4">
                  <c:v>13.3723359799415</c:v>
                </c:pt>
                <c:pt idx="5">
                  <c:v>8.08865162177465</c:v>
                </c:pt>
                <c:pt idx="6">
                  <c:v>7.8492935635792804</c:v>
                </c:pt>
                <c:pt idx="7">
                  <c:v>8.4207303069738995</c:v>
                </c:pt>
                <c:pt idx="8">
                  <c:v>13.474062429822601</c:v>
                </c:pt>
                <c:pt idx="9">
                  <c:v>16.806722689075599</c:v>
                </c:pt>
              </c:numCache>
            </c:numRef>
          </c:val>
          <c:smooth val="0"/>
        </c:ser>
        <c:ser>
          <c:idx val="3"/>
          <c:order val="1"/>
          <c:spPr>
            <a:ln w="22225" cap="rnd">
              <a:solidFill>
                <a:schemeClr val="accent1"/>
              </a:solidFill>
              <a:round/>
            </a:ln>
            <a:effectLst/>
          </c:spPr>
          <c:marker>
            <c:symbol val="none"/>
          </c:marker>
          <c:cat>
            <c:numRef>
              <c:f>'Māori Non-Māori'!$S$83:$AB$83</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Non-Māori'!$S$102:$AB$102</c:f>
              <c:numCache>
                <c:formatCode>0.0</c:formatCode>
                <c:ptCount val="10"/>
                <c:pt idx="0">
                  <c:v>14.0802356814834</c:v>
                </c:pt>
                <c:pt idx="1">
                  <c:v>15.737053896769201</c:v>
                </c:pt>
                <c:pt idx="2">
                  <c:v>15.298580746529399</c:v>
                </c:pt>
                <c:pt idx="3">
                  <c:v>14.822335025380699</c:v>
                </c:pt>
                <c:pt idx="4">
                  <c:v>13.431025669296099</c:v>
                </c:pt>
                <c:pt idx="5">
                  <c:v>13.648137079099399</c:v>
                </c:pt>
                <c:pt idx="6">
                  <c:v>17.105002966185499</c:v>
                </c:pt>
                <c:pt idx="7">
                  <c:v>15.051850693460301</c:v>
                </c:pt>
                <c:pt idx="8">
                  <c:v>14.7633521493704</c:v>
                </c:pt>
                <c:pt idx="9">
                  <c:v>13.9775028763229</c:v>
                </c:pt>
              </c:numCache>
            </c:numRef>
          </c:val>
          <c:smooth val="0"/>
        </c:ser>
        <c:dLbls>
          <c:showLegendKey val="0"/>
          <c:showVal val="0"/>
          <c:showCatName val="0"/>
          <c:showSerName val="0"/>
          <c:showPercent val="0"/>
          <c:showBubbleSize val="0"/>
        </c:dLbls>
        <c:smooth val="0"/>
        <c:axId val="609807144"/>
        <c:axId val="609803224"/>
      </c:lineChart>
      <c:catAx>
        <c:axId val="609807144"/>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3224"/>
        <c:crossesAt val="0"/>
        <c:auto val="1"/>
        <c:lblAlgn val="ctr"/>
        <c:lblOffset val="100"/>
        <c:tickLblSkip val="3"/>
        <c:noMultiLvlLbl val="0"/>
      </c:catAx>
      <c:valAx>
        <c:axId val="609803224"/>
        <c:scaling>
          <c:orientation val="minMax"/>
          <c:max val="5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7144"/>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159122085048"/>
          <c:y val="0.22719967831652313"/>
          <c:w val="0.79595423777769403"/>
          <c:h val="0.60872253683164101"/>
        </c:manualLayout>
      </c:layout>
      <c:lineChart>
        <c:grouping val="standard"/>
        <c:varyColors val="0"/>
        <c:ser>
          <c:idx val="0"/>
          <c:order val="0"/>
          <c:tx>
            <c:v>Māori</c:v>
          </c:tx>
          <c:spPr>
            <a:ln w="22225" cap="rnd">
              <a:solidFill>
                <a:schemeClr val="bg1">
                  <a:lumMod val="65000"/>
                </a:schemeClr>
              </a:solidFill>
              <a:round/>
            </a:ln>
            <a:effectLst/>
          </c:spPr>
          <c:marker>
            <c:symbol val="none"/>
          </c:marker>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Non-Māori'!$S$70:$AB$70</c:f>
              <c:numCache>
                <c:formatCode>0.0</c:formatCode>
                <c:ptCount val="10"/>
                <c:pt idx="0">
                  <c:v>39.593733861249802</c:v>
                </c:pt>
                <c:pt idx="1">
                  <c:v>28.857579358343202</c:v>
                </c:pt>
                <c:pt idx="2">
                  <c:v>40.140491721023601</c:v>
                </c:pt>
                <c:pt idx="3">
                  <c:v>44.437129690585898</c:v>
                </c:pt>
                <c:pt idx="4">
                  <c:v>53.519299383717197</c:v>
                </c:pt>
                <c:pt idx="5">
                  <c:v>59.247397918334698</c:v>
                </c:pt>
                <c:pt idx="6">
                  <c:v>45.597484276729602</c:v>
                </c:pt>
                <c:pt idx="7">
                  <c:v>30.736130321192601</c:v>
                </c:pt>
                <c:pt idx="8">
                  <c:v>29.899835550904498</c:v>
                </c:pt>
                <c:pt idx="9">
                  <c:v>49.773093251354098</c:v>
                </c:pt>
              </c:numCache>
            </c:numRef>
          </c:val>
          <c:smooth val="0"/>
        </c:ser>
        <c:ser>
          <c:idx val="2"/>
          <c:order val="1"/>
          <c:tx>
            <c:v>Non-Māori</c:v>
          </c:tx>
          <c:spPr>
            <a:ln w="22225" cap="rnd">
              <a:solidFill>
                <a:schemeClr val="accent1"/>
              </a:solidFill>
              <a:round/>
            </a:ln>
            <a:effectLst/>
          </c:spPr>
          <c:marker>
            <c:symbol val="none"/>
          </c:marker>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Non-Māori'!$S$105:$AB$105</c:f>
              <c:numCache>
                <c:formatCode>0.0</c:formatCode>
                <c:ptCount val="10"/>
                <c:pt idx="0">
                  <c:v>19.402562755163899</c:v>
                </c:pt>
                <c:pt idx="1">
                  <c:v>26.791150801704902</c:v>
                </c:pt>
                <c:pt idx="2">
                  <c:v>28.669493236422401</c:v>
                </c:pt>
                <c:pt idx="3">
                  <c:v>19.9163513244374</c:v>
                </c:pt>
                <c:pt idx="4">
                  <c:v>24.846190250828201</c:v>
                </c:pt>
                <c:pt idx="5">
                  <c:v>27.5319567354966</c:v>
                </c:pt>
                <c:pt idx="6">
                  <c:v>17.1667121844641</c:v>
                </c:pt>
                <c:pt idx="7">
                  <c:v>18.231540565177799</c:v>
                </c:pt>
                <c:pt idx="8">
                  <c:v>18.353338472268099</c:v>
                </c:pt>
                <c:pt idx="9">
                  <c:v>18.709747058611899</c:v>
                </c:pt>
              </c:numCache>
            </c:numRef>
          </c:val>
          <c:smooth val="0"/>
        </c:ser>
        <c:dLbls>
          <c:showLegendKey val="0"/>
          <c:showVal val="0"/>
          <c:showCatName val="0"/>
          <c:showSerName val="0"/>
          <c:showPercent val="0"/>
          <c:showBubbleSize val="0"/>
        </c:dLbls>
        <c:smooth val="0"/>
        <c:axId val="609805968"/>
        <c:axId val="609808712"/>
      </c:lineChart>
      <c:catAx>
        <c:axId val="6098059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8712"/>
        <c:crosses val="autoZero"/>
        <c:auto val="1"/>
        <c:lblAlgn val="ctr"/>
        <c:lblOffset val="100"/>
        <c:tickLblSkip val="3"/>
        <c:noMultiLvlLbl val="0"/>
      </c:catAx>
      <c:valAx>
        <c:axId val="609808712"/>
        <c:scaling>
          <c:orientation val="minMax"/>
          <c:max val="7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5968"/>
        <c:crosses val="autoZero"/>
        <c:crossBetween val="between"/>
        <c:majorUnit val="10"/>
      </c:valAx>
      <c:spPr>
        <a:noFill/>
        <a:ln>
          <a:noFill/>
        </a:ln>
        <a:effectLst/>
      </c:spPr>
    </c:plotArea>
    <c:legend>
      <c:legendPos val="r"/>
      <c:layout>
        <c:manualLayout>
          <c:xMode val="edge"/>
          <c:yMode val="edge"/>
          <c:x val="0.54049485596707814"/>
          <c:y val="3.4114414679619273E-2"/>
          <c:w val="0.45514986282578873"/>
          <c:h val="0.231600933775648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87615692775247E-2"/>
          <c:y val="0.19635015290519875"/>
          <c:w val="0.84795789507465436"/>
          <c:h val="0.69373853211009173"/>
        </c:manualLayout>
      </c:layout>
      <c:lineChart>
        <c:grouping val="standard"/>
        <c:varyColors val="0"/>
        <c:ser>
          <c:idx val="0"/>
          <c:order val="0"/>
          <c:spPr>
            <a:ln w="22225" cap="rnd">
              <a:solidFill>
                <a:schemeClr val="bg1">
                  <a:lumMod val="65000"/>
                </a:schemeClr>
              </a:solidFill>
              <a:round/>
            </a:ln>
            <a:effectLst/>
          </c:spPr>
          <c:marker>
            <c:symbol val="none"/>
          </c:marker>
          <c:cat>
            <c:numRef>
              <c:f>'Māori Non-Māori'!$S$48:$AB$48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Non-Māori'!$S$75:$AB$75</c:f>
              <c:numCache>
                <c:formatCode>0.0</c:formatCode>
                <c:ptCount val="10"/>
                <c:pt idx="0">
                  <c:v>16.686133822793298</c:v>
                </c:pt>
                <c:pt idx="1">
                  <c:v>29.6247531270573</c:v>
                </c:pt>
                <c:pt idx="2">
                  <c:v>17.889087656529501</c:v>
                </c:pt>
                <c:pt idx="3">
                  <c:v>24.0731824747232</c:v>
                </c:pt>
                <c:pt idx="4">
                  <c:v>25.412960609911099</c:v>
                </c:pt>
                <c:pt idx="5">
                  <c:v>37.7299166797673</c:v>
                </c:pt>
                <c:pt idx="6">
                  <c:v>31.172069825436399</c:v>
                </c:pt>
                <c:pt idx="7">
                  <c:v>12.405024034734099</c:v>
                </c:pt>
                <c:pt idx="8">
                  <c:v>33.747507286393599</c:v>
                </c:pt>
                <c:pt idx="9">
                  <c:v>16.714784987083998</c:v>
                </c:pt>
              </c:numCache>
            </c:numRef>
          </c:val>
          <c:smooth val="0"/>
        </c:ser>
        <c:ser>
          <c:idx val="2"/>
          <c:order val="1"/>
          <c:spPr>
            <a:ln w="22225" cap="rnd">
              <a:solidFill>
                <a:schemeClr val="accent1"/>
              </a:solidFill>
              <a:round/>
            </a:ln>
            <a:effectLst/>
          </c:spPr>
          <c:marker>
            <c:symbol val="none"/>
          </c:marker>
          <c:cat>
            <c:numRef>
              <c:f>'Māori Non-Māori'!$S$48:$AB$48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Non-Māori'!$S$110:$AB$110</c:f>
              <c:numCache>
                <c:formatCode>0.0</c:formatCode>
                <c:ptCount val="10"/>
                <c:pt idx="0">
                  <c:v>5.3926245488862197</c:v>
                </c:pt>
                <c:pt idx="1">
                  <c:v>8.3156625504137001</c:v>
                </c:pt>
                <c:pt idx="2">
                  <c:v>4.1414727076948603</c:v>
                </c:pt>
                <c:pt idx="3">
                  <c:v>7.7961511632678198</c:v>
                </c:pt>
                <c:pt idx="4">
                  <c:v>7.3604579840523403</c:v>
                </c:pt>
                <c:pt idx="5">
                  <c:v>6.96407357338905</c:v>
                </c:pt>
                <c:pt idx="6">
                  <c:v>7.3625654450261804</c:v>
                </c:pt>
                <c:pt idx="7">
                  <c:v>5.2491318743438597</c:v>
                </c:pt>
                <c:pt idx="8">
                  <c:v>7.5381868676849804</c:v>
                </c:pt>
                <c:pt idx="9">
                  <c:v>5.859375</c:v>
                </c:pt>
              </c:numCache>
            </c:numRef>
          </c:val>
          <c:smooth val="0"/>
        </c:ser>
        <c:dLbls>
          <c:showLegendKey val="0"/>
          <c:showVal val="0"/>
          <c:showCatName val="0"/>
          <c:showSerName val="0"/>
          <c:showPercent val="0"/>
          <c:showBubbleSize val="0"/>
        </c:dLbls>
        <c:smooth val="0"/>
        <c:axId val="609807928"/>
        <c:axId val="609808320"/>
      </c:lineChart>
      <c:catAx>
        <c:axId val="6098079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8320"/>
        <c:crosses val="autoZero"/>
        <c:auto val="1"/>
        <c:lblAlgn val="ctr"/>
        <c:lblOffset val="100"/>
        <c:tickLblSkip val="3"/>
        <c:noMultiLvlLbl val="0"/>
      </c:catAx>
      <c:valAx>
        <c:axId val="609808320"/>
        <c:scaling>
          <c:orientation val="minMax"/>
          <c:max val="7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792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9548611111112"/>
          <c:y val="0.15843170234454637"/>
          <c:w val="0.8088251185975126"/>
          <c:h val="0.73165698267074419"/>
        </c:manualLayout>
      </c:layout>
      <c:lineChart>
        <c:grouping val="standard"/>
        <c:varyColors val="0"/>
        <c:ser>
          <c:idx val="2"/>
          <c:order val="0"/>
          <c:tx>
            <c:v>Māori</c:v>
          </c:tx>
          <c:spPr>
            <a:ln w="22225" cap="rnd">
              <a:solidFill>
                <a:schemeClr val="bg1">
                  <a:lumMod val="50000"/>
                </a:schemeClr>
              </a:solidFill>
              <a:round/>
            </a:ln>
            <a:effectLst/>
          </c:spPr>
          <c:marker>
            <c:symbol val="none"/>
          </c:marker>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Non-Māori'!$S$17:$AB$17</c:f>
              <c:numCache>
                <c:formatCode>0.0</c:formatCode>
                <c:ptCount val="10"/>
                <c:pt idx="0">
                  <c:v>7.2545885050603403</c:v>
                </c:pt>
                <c:pt idx="1">
                  <c:v>8.8796426541518301</c:v>
                </c:pt>
                <c:pt idx="2">
                  <c:v>7.3206868063360204</c:v>
                </c:pt>
                <c:pt idx="3">
                  <c:v>8.74468389486562</c:v>
                </c:pt>
                <c:pt idx="4">
                  <c:v>9.3323745071337907</c:v>
                </c:pt>
                <c:pt idx="5">
                  <c:v>10.376266848783301</c:v>
                </c:pt>
                <c:pt idx="6">
                  <c:v>11.129535195000299</c:v>
                </c:pt>
                <c:pt idx="7">
                  <c:v>8.0088287466587804</c:v>
                </c:pt>
                <c:pt idx="8">
                  <c:v>11.215062247293901</c:v>
                </c:pt>
                <c:pt idx="9">
                  <c:v>10.149379221506599</c:v>
                </c:pt>
              </c:numCache>
            </c:numRef>
          </c:val>
          <c:smooth val="0"/>
        </c:ser>
        <c:ser>
          <c:idx val="3"/>
          <c:order val="1"/>
          <c:tx>
            <c:v>Non-Māori</c:v>
          </c:tx>
          <c:spPr>
            <a:ln w="22225" cap="rnd">
              <a:solidFill>
                <a:schemeClr val="accent1"/>
              </a:solidFill>
              <a:round/>
            </a:ln>
            <a:effectLst/>
          </c:spPr>
          <c:marker>
            <c:symbol val="none"/>
          </c:marker>
          <c:cat>
            <c:numRef>
              <c:f>'Māori Non-Māori'!$S$10:$AB$10</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'Māori Non-Māori'!$S$27:$AB$27</c:f>
              <c:numCache>
                <c:formatCode>0.0</c:formatCode>
                <c:ptCount val="10"/>
                <c:pt idx="0">
                  <c:v>4.6012421251756503</c:v>
                </c:pt>
                <c:pt idx="1">
                  <c:v>5.4589151940525902</c:v>
                </c:pt>
                <c:pt idx="2">
                  <c:v>4.4437437379171101</c:v>
                </c:pt>
                <c:pt idx="3">
                  <c:v>5.9134650848101904</c:v>
                </c:pt>
                <c:pt idx="4">
                  <c:v>4.0833090975863904</c:v>
                </c:pt>
                <c:pt idx="5">
                  <c:v>5.1528651892542001</c:v>
                </c:pt>
                <c:pt idx="6">
                  <c:v>5.2765407142672398</c:v>
                </c:pt>
                <c:pt idx="7">
                  <c:v>4.8294233213266304</c:v>
                </c:pt>
                <c:pt idx="8">
                  <c:v>4.7288683499996003</c:v>
                </c:pt>
                <c:pt idx="9">
                  <c:v>4.8570007876246901</c:v>
                </c:pt>
              </c:numCache>
            </c:numRef>
          </c:val>
          <c:smooth val="0"/>
        </c:ser>
        <c:dLbls>
          <c:showLegendKey val="0"/>
          <c:showVal val="0"/>
          <c:showCatName val="0"/>
          <c:showSerName val="0"/>
          <c:showPercent val="0"/>
          <c:showBubbleSize val="0"/>
        </c:dLbls>
        <c:smooth val="0"/>
        <c:axId val="609806360"/>
        <c:axId val="609807536"/>
      </c:lineChart>
      <c:catAx>
        <c:axId val="609806360"/>
        <c:scaling>
          <c:orientation val="minMax"/>
        </c:scaling>
        <c:delete val="0"/>
        <c:axPos val="b"/>
        <c:numFmt formatCode="General"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7536"/>
        <c:crossesAt val="0"/>
        <c:auto val="1"/>
        <c:lblAlgn val="ctr"/>
        <c:lblOffset val="100"/>
        <c:tickLblSkip val="3"/>
        <c:noMultiLvlLbl val="0"/>
      </c:catAx>
      <c:valAx>
        <c:axId val="609807536"/>
        <c:scaling>
          <c:orientation val="minMax"/>
          <c:max val="40"/>
          <c:min val="0"/>
        </c:scaling>
        <c:delete val="0"/>
        <c:axPos val="l"/>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09806360"/>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1447800</xdr:colOff>
      <xdr:row>4</xdr:row>
      <xdr:rowOff>76856</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1447800" cy="73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47622</xdr:colOff>
      <xdr:row>22</xdr:row>
      <xdr:rowOff>85724</xdr:rowOff>
    </xdr:from>
    <xdr:to>
      <xdr:col>15</xdr:col>
      <xdr:colOff>209550</xdr:colOff>
      <xdr:row>35</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0.03222</cdr:x>
      <cdr:y>0.04202</cdr:y>
    </cdr:from>
    <cdr:to>
      <cdr:x>0.2247</cdr:x>
      <cdr:y>0.14847</cdr:y>
    </cdr:to>
    <cdr:sp macro="" textlink="">
      <cdr:nvSpPr>
        <cdr:cNvPr id="2" name="TextBox 1"/>
        <cdr:cNvSpPr txBox="1"/>
      </cdr:nvSpPr>
      <cdr:spPr>
        <a:xfrm xmlns:a="http://schemas.openxmlformats.org/drawingml/2006/main">
          <a:off x="236914" y="92856"/>
          <a:ext cx="1415364" cy="2352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dr:relSizeAnchor xmlns:cdr="http://schemas.openxmlformats.org/drawingml/2006/chartDrawing">
    <cdr:from>
      <cdr:x>0.87114</cdr:x>
      <cdr:y>0.03716</cdr:y>
    </cdr:from>
    <cdr:to>
      <cdr:x>1</cdr:x>
      <cdr:y>0.131</cdr:y>
    </cdr:to>
    <cdr:sp macro="" textlink="">
      <cdr:nvSpPr>
        <cdr:cNvPr id="3" name="TextBox 2"/>
        <cdr:cNvSpPr txBox="1"/>
      </cdr:nvSpPr>
      <cdr:spPr>
        <a:xfrm xmlns:a="http://schemas.openxmlformats.org/drawingml/2006/main">
          <a:off x="5136250" y="81044"/>
          <a:ext cx="759728" cy="2047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Number</a:t>
          </a:r>
        </a:p>
        <a:p xmlns:a="http://schemas.openxmlformats.org/drawingml/2006/main">
          <a:endParaRPr lang="en-NZ" sz="9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9525</xdr:colOff>
      <xdr:row>8</xdr:row>
      <xdr:rowOff>95250</xdr:rowOff>
    </xdr:from>
    <xdr:to>
      <xdr:col>12</xdr:col>
      <xdr:colOff>267300</xdr:colOff>
      <xdr:row>19</xdr:row>
      <xdr:rowOff>114075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123823</xdr:colOff>
      <xdr:row>27</xdr:row>
      <xdr:rowOff>114300</xdr:rowOff>
    </xdr:from>
    <xdr:to>
      <xdr:col>12</xdr:col>
      <xdr:colOff>238723</xdr:colOff>
      <xdr:row>38</xdr:row>
      <xdr:rowOff>133125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552450</xdr:colOff>
      <xdr:row>59</xdr:row>
      <xdr:rowOff>142875</xdr:rowOff>
    </xdr:from>
    <xdr:to>
      <xdr:col>12</xdr:col>
      <xdr:colOff>314883</xdr:colOff>
      <xdr:row>70</xdr:row>
      <xdr:rowOff>57151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xdr:colOff>
      <xdr:row>46</xdr:row>
      <xdr:rowOff>110677</xdr:rowOff>
    </xdr:from>
    <xdr:to>
      <xdr:col>6</xdr:col>
      <xdr:colOff>583050</xdr:colOff>
      <xdr:row>58</xdr:row>
      <xdr:rowOff>158377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600076</xdr:colOff>
      <xdr:row>46</xdr:row>
      <xdr:rowOff>129727</xdr:rowOff>
    </xdr:from>
    <xdr:to>
      <xdr:col>12</xdr:col>
      <xdr:colOff>363976</xdr:colOff>
      <xdr:row>59</xdr:row>
      <xdr:rowOff>15502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142874</xdr:colOff>
      <xdr:row>59</xdr:row>
      <xdr:rowOff>114299</xdr:rowOff>
    </xdr:from>
    <xdr:to>
      <xdr:col>6</xdr:col>
      <xdr:colOff>535424</xdr:colOff>
      <xdr:row>70</xdr:row>
      <xdr:rowOff>28649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0.021</cdr:x>
      <cdr:y>0.02794</cdr:y>
    </cdr:from>
    <cdr:to>
      <cdr:x>0.22937</cdr:x>
      <cdr:y>0.17321</cdr:y>
    </cdr:to>
    <cdr:sp macro="" textlink="">
      <cdr:nvSpPr>
        <cdr:cNvPr id="5" name="TextBox 4"/>
        <cdr:cNvSpPr txBox="1"/>
      </cdr:nvSpPr>
      <cdr:spPr>
        <a:xfrm xmlns:a="http://schemas.openxmlformats.org/drawingml/2006/main">
          <a:off x="123825" y="47625"/>
          <a:ext cx="12287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userShapes>
</file>

<file path=xl/drawings/drawing6.xml><?xml version="1.0" encoding="utf-8"?>
<c:userShapes xmlns:c="http://schemas.openxmlformats.org/drawingml/2006/chart">
  <cdr:relSizeAnchor xmlns:cdr="http://schemas.openxmlformats.org/drawingml/2006/chartDrawing">
    <cdr:from>
      <cdr:x>0.00812</cdr:x>
      <cdr:y>0.01058</cdr:y>
    </cdr:from>
    <cdr:to>
      <cdr:x>0.23377</cdr:x>
      <cdr:y>0.127</cdr:y>
    </cdr:to>
    <cdr:sp macro="" textlink="">
      <cdr:nvSpPr>
        <cdr:cNvPr id="4" name="TextBox 3"/>
        <cdr:cNvSpPr txBox="1"/>
      </cdr:nvSpPr>
      <cdr:spPr>
        <a:xfrm xmlns:a="http://schemas.openxmlformats.org/drawingml/2006/main">
          <a:off x="47627" y="19050"/>
          <a:ext cx="13239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userShapes>
</file>

<file path=xl/drawings/drawing7.xml><?xml version="1.0" encoding="utf-8"?>
<c:userShapes xmlns:c="http://schemas.openxmlformats.org/drawingml/2006/chart">
  <cdr:relSizeAnchor xmlns:cdr="http://schemas.openxmlformats.org/drawingml/2006/chartDrawing">
    <cdr:from>
      <cdr:x>0.00651</cdr:x>
      <cdr:y>0.03226</cdr:y>
    </cdr:from>
    <cdr:to>
      <cdr:x>0.41368</cdr:x>
      <cdr:y>0.13441</cdr:y>
    </cdr:to>
    <cdr:sp macro="" textlink="">
      <cdr:nvSpPr>
        <cdr:cNvPr id="2" name="TextBox 1"/>
        <cdr:cNvSpPr txBox="1"/>
      </cdr:nvSpPr>
      <cdr:spPr>
        <a:xfrm xmlns:a="http://schemas.openxmlformats.org/drawingml/2006/main">
          <a:off x="19050" y="57151"/>
          <a:ext cx="11906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0.02623</cdr:x>
      <cdr:y>0.13798</cdr:y>
    </cdr:from>
    <cdr:to>
      <cdr:x>0.43934</cdr:x>
      <cdr:y>0.24493</cdr:y>
    </cdr:to>
    <cdr:sp macro="" textlink="">
      <cdr:nvSpPr>
        <cdr:cNvPr id="3" name="TextBox 2"/>
        <cdr:cNvSpPr txBox="1"/>
      </cdr:nvSpPr>
      <cdr:spPr>
        <a:xfrm xmlns:a="http://schemas.openxmlformats.org/drawingml/2006/main">
          <a:off x="76200" y="293085"/>
          <a:ext cx="1200150" cy="22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19048</xdr:colOff>
      <xdr:row>7</xdr:row>
      <xdr:rowOff>85725</xdr:rowOff>
    </xdr:from>
    <xdr:to>
      <xdr:col>11</xdr:col>
      <xdr:colOff>189148</xdr:colOff>
      <xdr:row>17</xdr:row>
      <xdr:rowOff>142650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28</xdr:row>
      <xdr:rowOff>66674</xdr:rowOff>
    </xdr:from>
    <xdr:to>
      <xdr:col>7</xdr:col>
      <xdr:colOff>39450</xdr:colOff>
      <xdr:row>39</xdr:row>
      <xdr:rowOff>47474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57149</xdr:colOff>
      <xdr:row>80</xdr:row>
      <xdr:rowOff>76198</xdr:rowOff>
    </xdr:from>
    <xdr:to>
      <xdr:col>6</xdr:col>
      <xdr:colOff>591899</xdr:colOff>
      <xdr:row>94</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590547</xdr:colOff>
      <xdr:row>80</xdr:row>
      <xdr:rowOff>66675</xdr:rowOff>
    </xdr:from>
    <xdr:to>
      <xdr:col>12</xdr:col>
      <xdr:colOff>76199</xdr:colOff>
      <xdr:row>94</xdr:row>
      <xdr:rowOff>19050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85724</xdr:colOff>
      <xdr:row>94</xdr:row>
      <xdr:rowOff>85725</xdr:rowOff>
    </xdr:from>
    <xdr:to>
      <xdr:col>7</xdr:col>
      <xdr:colOff>10874</xdr:colOff>
      <xdr:row>105</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54</xdr:row>
      <xdr:rowOff>66675</xdr:rowOff>
    </xdr:from>
    <xdr:to>
      <xdr:col>7</xdr:col>
      <xdr:colOff>68025</xdr:colOff>
      <xdr:row>68</xdr:row>
      <xdr:rowOff>9375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76200</xdr:colOff>
      <xdr:row>55</xdr:row>
      <xdr:rowOff>28575</xdr:rowOff>
    </xdr:from>
    <xdr:to>
      <xdr:col>12</xdr:col>
      <xdr:colOff>48975</xdr:colOff>
      <xdr:row>67</xdr:row>
      <xdr:rowOff>18900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161925</xdr:colOff>
      <xdr:row>81</xdr:row>
      <xdr:rowOff>28575</xdr:rowOff>
    </xdr:from>
    <xdr:to>
      <xdr:col>6</xdr:col>
      <xdr:colOff>599944</xdr:colOff>
      <xdr:row>84</xdr:row>
      <xdr:rowOff>0</xdr:rowOff>
    </xdr:to>
    <xdr:pic>
      <xdr:nvPicPr>
        <xdr:cNvPr id="2" name="Picture 1"/>
        <xdr:cNvPicPr>
          <a:picLocks noChangeAspect="1"/>
        </xdr:cNvPicPr>
      </xdr:nvPicPr>
      <xdr:blipFill>
        <a:blip xmlns:r="http://schemas.openxmlformats.org/officeDocument/2006/relationships" r:embed="rId8"/>
        <a:stretch>
          <a:fillRect/>
        </a:stretch>
      </xdr:blipFill>
      <xdr:spPr>
        <a:xfrm>
          <a:off x="2295525" y="14544675"/>
          <a:ext cx="1047619" cy="457200"/>
        </a:xfrm>
        <a:prstGeom prst="rect">
          <a:avLst/>
        </a:prstGeom>
      </xdr:spPr>
    </xdr:pic>
    <xdr:clientData/>
  </xdr:twoCellAnchor>
  <xdr:twoCellAnchor>
    <xdr:from>
      <xdr:col>7</xdr:col>
      <xdr:colOff>152400</xdr:colOff>
      <xdr:row>28</xdr:row>
      <xdr:rowOff>66675</xdr:rowOff>
    </xdr:from>
    <xdr:to>
      <xdr:col>12</xdr:col>
      <xdr:colOff>125175</xdr:colOff>
      <xdr:row>39</xdr:row>
      <xdr:rowOff>47475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0.01486</cdr:x>
      <cdr:y>0.03175</cdr:y>
    </cdr:from>
    <cdr:to>
      <cdr:x>0.33506</cdr:x>
      <cdr:y>0.14288</cdr:y>
    </cdr:to>
    <cdr:sp macro="" textlink="">
      <cdr:nvSpPr>
        <cdr:cNvPr id="2" name="TextBox 1"/>
        <cdr:cNvSpPr txBox="1"/>
      </cdr:nvSpPr>
      <cdr:spPr>
        <a:xfrm xmlns:a="http://schemas.openxmlformats.org/drawingml/2006/main">
          <a:off x="85727" y="57150"/>
          <a:ext cx="1847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userShapes>
</file>

<file path=xl/drawings/drawing10.xml><?xml version="1.0" encoding="utf-8"?>
<c:userShapes xmlns:c="http://schemas.openxmlformats.org/drawingml/2006/chart">
  <cdr:relSizeAnchor xmlns:cdr="http://schemas.openxmlformats.org/drawingml/2006/chartDrawing">
    <cdr:from>
      <cdr:x>0.01033</cdr:x>
      <cdr:y>0.01588</cdr:y>
    </cdr:from>
    <cdr:to>
      <cdr:x>0.42765</cdr:x>
      <cdr:y>0.15346</cdr:y>
    </cdr:to>
    <cdr:sp macro="" textlink="">
      <cdr:nvSpPr>
        <cdr:cNvPr id="3" name="TextBox 2"/>
        <cdr:cNvSpPr txBox="1"/>
      </cdr:nvSpPr>
      <cdr:spPr>
        <a:xfrm xmlns:a="http://schemas.openxmlformats.org/drawingml/2006/main">
          <a:off x="30599" y="28739"/>
          <a:ext cx="1236225" cy="2489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dr:relSizeAnchor xmlns:cdr="http://schemas.openxmlformats.org/drawingml/2006/chartDrawing">
    <cdr:from>
      <cdr:x>0</cdr:x>
      <cdr:y>0</cdr:y>
    </cdr:from>
    <cdr:to>
      <cdr:x>0.50957</cdr:x>
      <cdr:y>0.13925</cdr:y>
    </cdr:to>
    <cdr:sp macro="" textlink="">
      <cdr:nvSpPr>
        <cdr:cNvPr id="2" name="TextBox 1"/>
        <cdr:cNvSpPr txBox="1"/>
      </cdr:nvSpPr>
      <cdr:spPr>
        <a:xfrm xmlns:a="http://schemas.openxmlformats.org/drawingml/2006/main">
          <a:off x="0" y="0"/>
          <a:ext cx="1485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0.00651</cdr:x>
      <cdr:y>0.03226</cdr:y>
    </cdr:from>
    <cdr:to>
      <cdr:x>0.41368</cdr:x>
      <cdr:y>0.13441</cdr:y>
    </cdr:to>
    <cdr:sp macro="" textlink="">
      <cdr:nvSpPr>
        <cdr:cNvPr id="4" name="TextBox 1"/>
        <cdr:cNvSpPr txBox="1"/>
      </cdr:nvSpPr>
      <cdr:spPr>
        <a:xfrm xmlns:a="http://schemas.openxmlformats.org/drawingml/2006/main">
          <a:off x="19050" y="57151"/>
          <a:ext cx="11906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0.02623</cdr:x>
      <cdr:y>0.11483</cdr:y>
    </cdr:from>
    <cdr:to>
      <cdr:x>0.43934</cdr:x>
      <cdr:y>0.22178</cdr:y>
    </cdr:to>
    <cdr:sp macro="" textlink="">
      <cdr:nvSpPr>
        <cdr:cNvPr id="5" name="TextBox 2"/>
        <cdr:cNvSpPr txBox="1"/>
      </cdr:nvSpPr>
      <cdr:spPr>
        <a:xfrm xmlns:a="http://schemas.openxmlformats.org/drawingml/2006/main">
          <a:off x="76487" y="236255"/>
          <a:ext cx="1204628" cy="220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0.50957</cdr:x>
      <cdr:y>0.13925</cdr:y>
    </cdr:to>
    <cdr:sp macro="" textlink="">
      <cdr:nvSpPr>
        <cdr:cNvPr id="2" name="TextBox 1"/>
        <cdr:cNvSpPr txBox="1"/>
      </cdr:nvSpPr>
      <cdr:spPr>
        <a:xfrm xmlns:a="http://schemas.openxmlformats.org/drawingml/2006/main">
          <a:off x="0" y="0"/>
          <a:ext cx="1485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0.00651</cdr:x>
      <cdr:y>0.03226</cdr:y>
    </cdr:from>
    <cdr:to>
      <cdr:x>0.41368</cdr:x>
      <cdr:y>0.13441</cdr:y>
    </cdr:to>
    <cdr:sp macro="" textlink="">
      <cdr:nvSpPr>
        <cdr:cNvPr id="3" name="TextBox 1"/>
        <cdr:cNvSpPr txBox="1"/>
      </cdr:nvSpPr>
      <cdr:spPr>
        <a:xfrm xmlns:a="http://schemas.openxmlformats.org/drawingml/2006/main">
          <a:off x="19050" y="57151"/>
          <a:ext cx="11906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0.0295</cdr:x>
      <cdr:y>0.17718</cdr:y>
    </cdr:from>
    <cdr:to>
      <cdr:x>0.44261</cdr:x>
      <cdr:y>0.27994</cdr:y>
    </cdr:to>
    <cdr:sp macro="" textlink="">
      <cdr:nvSpPr>
        <cdr:cNvPr id="4" name="TextBox 2"/>
        <cdr:cNvSpPr txBox="1"/>
      </cdr:nvSpPr>
      <cdr:spPr>
        <a:xfrm xmlns:a="http://schemas.openxmlformats.org/drawingml/2006/main">
          <a:off x="86012" y="393226"/>
          <a:ext cx="1204628" cy="228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0.50957</cdr:x>
      <cdr:y>0.13925</cdr:y>
    </cdr:to>
    <cdr:sp macro="" textlink="">
      <cdr:nvSpPr>
        <cdr:cNvPr id="3" name="TextBox 1"/>
        <cdr:cNvSpPr txBox="1"/>
      </cdr:nvSpPr>
      <cdr:spPr>
        <a:xfrm xmlns:a="http://schemas.openxmlformats.org/drawingml/2006/main">
          <a:off x="0" y="0"/>
          <a:ext cx="1485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0.00651</cdr:x>
      <cdr:y>0.03226</cdr:y>
    </cdr:from>
    <cdr:to>
      <cdr:x>0.41368</cdr:x>
      <cdr:y>0.13441</cdr:y>
    </cdr:to>
    <cdr:sp macro="" textlink="">
      <cdr:nvSpPr>
        <cdr:cNvPr id="4" name="TextBox 1"/>
        <cdr:cNvSpPr txBox="1"/>
      </cdr:nvSpPr>
      <cdr:spPr>
        <a:xfrm xmlns:a="http://schemas.openxmlformats.org/drawingml/2006/main">
          <a:off x="19050" y="57151"/>
          <a:ext cx="11906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0.02623</cdr:x>
      <cdr:y>0.11483</cdr:y>
    </cdr:from>
    <cdr:to>
      <cdr:x>0.43934</cdr:x>
      <cdr:y>0.22178</cdr:y>
    </cdr:to>
    <cdr:sp macro="" textlink="">
      <cdr:nvSpPr>
        <cdr:cNvPr id="5" name="TextBox 2"/>
        <cdr:cNvSpPr txBox="1"/>
      </cdr:nvSpPr>
      <cdr:spPr>
        <a:xfrm xmlns:a="http://schemas.openxmlformats.org/drawingml/2006/main">
          <a:off x="76487" y="236255"/>
          <a:ext cx="1204628" cy="220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0.50957</cdr:x>
      <cdr:y>0.13925</cdr:y>
    </cdr:to>
    <cdr:sp macro="" textlink="">
      <cdr:nvSpPr>
        <cdr:cNvPr id="3" name="TextBox 1"/>
        <cdr:cNvSpPr txBox="1"/>
      </cdr:nvSpPr>
      <cdr:spPr>
        <a:xfrm xmlns:a="http://schemas.openxmlformats.org/drawingml/2006/main">
          <a:off x="0" y="0"/>
          <a:ext cx="1485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0.00651</cdr:x>
      <cdr:y>0.03226</cdr:y>
    </cdr:from>
    <cdr:to>
      <cdr:x>0.41368</cdr:x>
      <cdr:y>0.13441</cdr:y>
    </cdr:to>
    <cdr:sp macro="" textlink="">
      <cdr:nvSpPr>
        <cdr:cNvPr id="4" name="TextBox 1"/>
        <cdr:cNvSpPr txBox="1"/>
      </cdr:nvSpPr>
      <cdr:spPr>
        <a:xfrm xmlns:a="http://schemas.openxmlformats.org/drawingml/2006/main">
          <a:off x="19050" y="57151"/>
          <a:ext cx="11906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0.02623</cdr:x>
      <cdr:y>0.11483</cdr:y>
    </cdr:from>
    <cdr:to>
      <cdr:x>0.43934</cdr:x>
      <cdr:y>0.22178</cdr:y>
    </cdr:to>
    <cdr:sp macro="" textlink="">
      <cdr:nvSpPr>
        <cdr:cNvPr id="5" name="TextBox 2"/>
        <cdr:cNvSpPr txBox="1"/>
      </cdr:nvSpPr>
      <cdr:spPr>
        <a:xfrm xmlns:a="http://schemas.openxmlformats.org/drawingml/2006/main">
          <a:off x="76487" y="236255"/>
          <a:ext cx="1204628" cy="220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0.00653</cdr:y>
    </cdr:from>
    <cdr:to>
      <cdr:x>0.40778</cdr:x>
      <cdr:y>0.14411</cdr:y>
    </cdr:to>
    <cdr:sp macro="" textlink="">
      <cdr:nvSpPr>
        <cdr:cNvPr id="3" name="TextBox 2"/>
        <cdr:cNvSpPr txBox="1"/>
      </cdr:nvSpPr>
      <cdr:spPr>
        <a:xfrm xmlns:a="http://schemas.openxmlformats.org/drawingml/2006/main">
          <a:off x="0" y="13317"/>
          <a:ext cx="1189078" cy="280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900">
              <a:latin typeface="Arial" panose="020B0604020202020204" pitchFamily="34" charset="0"/>
              <a:cs typeface="Arial" panose="020B0604020202020204" pitchFamily="34" charset="0"/>
            </a:rPr>
            <a:t>Rate (per 100,000)</a:t>
          </a: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cdr:y>
    </cdr:from>
    <cdr:to>
      <cdr:x>0.50957</cdr:x>
      <cdr:y>0.13925</cdr:y>
    </cdr:to>
    <cdr:sp macro="" textlink="">
      <cdr:nvSpPr>
        <cdr:cNvPr id="2" name="TextBox 1"/>
        <cdr:cNvSpPr txBox="1"/>
      </cdr:nvSpPr>
      <cdr:spPr>
        <a:xfrm xmlns:a="http://schemas.openxmlformats.org/drawingml/2006/main">
          <a:off x="0" y="0"/>
          <a:ext cx="14859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0.00651</cdr:x>
      <cdr:y>0.03226</cdr:y>
    </cdr:from>
    <cdr:to>
      <cdr:x>0.41368</cdr:x>
      <cdr:y>0.13441</cdr:y>
    </cdr:to>
    <cdr:sp macro="" textlink="">
      <cdr:nvSpPr>
        <cdr:cNvPr id="4" name="TextBox 1"/>
        <cdr:cNvSpPr txBox="1"/>
      </cdr:nvSpPr>
      <cdr:spPr>
        <a:xfrm xmlns:a="http://schemas.openxmlformats.org/drawingml/2006/main">
          <a:off x="19050" y="57151"/>
          <a:ext cx="11906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0.02623</cdr:x>
      <cdr:y>0.11483</cdr:y>
    </cdr:from>
    <cdr:to>
      <cdr:x>0.43934</cdr:x>
      <cdr:y>0.22178</cdr:y>
    </cdr:to>
    <cdr:sp macro="" textlink="">
      <cdr:nvSpPr>
        <cdr:cNvPr id="5" name="TextBox 2"/>
        <cdr:cNvSpPr txBox="1"/>
      </cdr:nvSpPr>
      <cdr:spPr>
        <a:xfrm xmlns:a="http://schemas.openxmlformats.org/drawingml/2006/main">
          <a:off x="76487" y="236255"/>
          <a:ext cx="1204628" cy="2200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ealth.govt.nz/nz-health-statistics/national-collections-and-surveys/collections/mortality-collection" TargetMode="External"/><Relationship Id="rId2" Type="http://schemas.openxmlformats.org/officeDocument/2006/relationships/hyperlink" Target="https://www.health.govt.nz/nz-health-statistics/health-statistics-and-data-sets/suicide-facts-deaths-and-intentional-self-harm-hospitalisations-series" TargetMode="External"/><Relationship Id="rId1" Type="http://schemas.openxmlformats.org/officeDocument/2006/relationships/hyperlink" Target="mailto:data-enquiries@moh.govt.n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health.govt.nz/" TargetMode="External"/><Relationship Id="rId7" Type="http://schemas.openxmlformats.org/officeDocument/2006/relationships/printerSettings" Target="../printerSettings/printerSettings6.bin"/><Relationship Id="rId2" Type="http://schemas.openxmlformats.org/officeDocument/2006/relationships/hyperlink" Target="mailto:enquiries@moh.govt.nz" TargetMode="External"/><Relationship Id="rId1" Type="http://schemas.openxmlformats.org/officeDocument/2006/relationships/hyperlink" Target="http://www.stats.govt.nz/" TargetMode="External"/><Relationship Id="rId6" Type="http://schemas.openxmlformats.org/officeDocument/2006/relationships/hyperlink" Target="https://www.health.govt.nz/our-work/mental-health-and-addictions/working-prevent-suicide/understanding-suicide-new-zealand" TargetMode="External"/><Relationship Id="rId5" Type="http://schemas.openxmlformats.org/officeDocument/2006/relationships/hyperlink" Target="https://www.health.govt.nz/publication/office-director-mental-health-and-addiction-services-annual-report-2017" TargetMode="External"/><Relationship Id="rId4" Type="http://schemas.openxmlformats.org/officeDocument/2006/relationships/hyperlink" Target="https://www.health.govt.nz/our-work/mental-health-and-addictions/working-prevent-suici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tabSelected="1" zoomScaleNormal="100" workbookViewId="0">
      <selection activeCell="I32" sqref="I32"/>
    </sheetView>
  </sheetViews>
  <sheetFormatPr defaultColWidth="9.140625" defaultRowHeight="12.75" x14ac:dyDescent="0.2"/>
  <cols>
    <col min="1" max="1" width="25" style="53" customWidth="1"/>
    <col min="2" max="2" width="9.140625" style="51"/>
    <col min="3" max="3" width="15.28515625" style="51" customWidth="1"/>
    <col min="4" max="14" width="9.140625" style="51"/>
    <col min="15" max="15" width="29.28515625" style="51" customWidth="1"/>
    <col min="16" max="16384" width="9.140625" style="51"/>
  </cols>
  <sheetData>
    <row r="2" spans="1:15" ht="13.5" customHeight="1" x14ac:dyDescent="0.2"/>
    <row r="7" spans="1:15" ht="15" x14ac:dyDescent="0.25">
      <c r="A7" s="53" t="s">
        <v>184</v>
      </c>
      <c r="B7" s="119" t="s">
        <v>296</v>
      </c>
      <c r="H7" s="5"/>
    </row>
    <row r="9" spans="1:15" ht="119.25" customHeight="1" x14ac:dyDescent="0.2">
      <c r="A9" s="120" t="s">
        <v>185</v>
      </c>
      <c r="B9" s="303" t="s">
        <v>277</v>
      </c>
      <c r="C9" s="304"/>
      <c r="D9" s="304"/>
      <c r="E9" s="304"/>
      <c r="F9" s="304"/>
      <c r="G9" s="304"/>
      <c r="H9" s="304"/>
      <c r="I9" s="304"/>
      <c r="J9" s="304"/>
      <c r="K9" s="304"/>
      <c r="L9" s="304"/>
      <c r="M9" s="304"/>
      <c r="N9" s="304"/>
      <c r="O9" s="304"/>
    </row>
    <row r="11" spans="1:15" x14ac:dyDescent="0.2">
      <c r="A11" s="53" t="s">
        <v>186</v>
      </c>
      <c r="B11" s="51" t="s">
        <v>187</v>
      </c>
    </row>
    <row r="13" spans="1:15" x14ac:dyDescent="0.2">
      <c r="A13" s="53" t="s">
        <v>95</v>
      </c>
      <c r="B13" s="51" t="s">
        <v>188</v>
      </c>
    </row>
    <row r="15" spans="1:15" x14ac:dyDescent="0.2">
      <c r="A15" s="53" t="s">
        <v>232</v>
      </c>
      <c r="B15" s="221" t="s">
        <v>263</v>
      </c>
    </row>
    <row r="17" spans="1:4" x14ac:dyDescent="0.2">
      <c r="A17" s="53" t="s">
        <v>189</v>
      </c>
      <c r="B17" s="302" t="s">
        <v>295</v>
      </c>
    </row>
    <row r="19" spans="1:4" x14ac:dyDescent="0.2">
      <c r="A19" s="53" t="s">
        <v>190</v>
      </c>
      <c r="B19" s="76" t="s">
        <v>191</v>
      </c>
    </row>
    <row r="20" spans="1:4" x14ac:dyDescent="0.2">
      <c r="B20" s="76" t="s">
        <v>96</v>
      </c>
    </row>
    <row r="21" spans="1:4" x14ac:dyDescent="0.2">
      <c r="B21" s="76"/>
    </row>
    <row r="23" spans="1:4" x14ac:dyDescent="0.2">
      <c r="B23" s="51" t="s">
        <v>282</v>
      </c>
    </row>
    <row r="24" spans="1:4" x14ac:dyDescent="0.2">
      <c r="A24" s="51"/>
      <c r="B24" s="51" t="s">
        <v>283</v>
      </c>
    </row>
    <row r="25" spans="1:4" x14ac:dyDescent="0.2">
      <c r="A25" s="51"/>
    </row>
    <row r="26" spans="1:4" ht="15.75" customHeight="1" x14ac:dyDescent="0.2">
      <c r="A26" s="51"/>
      <c r="B26" s="51" t="s">
        <v>281</v>
      </c>
    </row>
    <row r="27" spans="1:4" x14ac:dyDescent="0.2">
      <c r="A27" s="51"/>
    </row>
    <row r="28" spans="1:4" x14ac:dyDescent="0.2">
      <c r="A28" s="51"/>
      <c r="C28" s="51" t="s">
        <v>192</v>
      </c>
      <c r="D28" s="51" t="s">
        <v>171</v>
      </c>
    </row>
    <row r="29" spans="1:4" x14ac:dyDescent="0.2">
      <c r="A29" s="51"/>
      <c r="D29" s="51" t="s">
        <v>173</v>
      </c>
    </row>
    <row r="30" spans="1:4" x14ac:dyDescent="0.2">
      <c r="A30" s="51"/>
      <c r="D30" s="51" t="s">
        <v>174</v>
      </c>
    </row>
    <row r="31" spans="1:4" x14ac:dyDescent="0.2">
      <c r="A31" s="51"/>
      <c r="D31" s="51" t="s">
        <v>193</v>
      </c>
    </row>
    <row r="32" spans="1:4" x14ac:dyDescent="0.2">
      <c r="A32" s="51"/>
      <c r="D32" s="51" t="s">
        <v>63</v>
      </c>
    </row>
    <row r="33" spans="1:4" x14ac:dyDescent="0.2">
      <c r="A33" s="51"/>
      <c r="C33" s="51" t="s">
        <v>194</v>
      </c>
      <c r="D33" s="76" t="s">
        <v>297</v>
      </c>
    </row>
    <row r="34" spans="1:4" x14ac:dyDescent="0.2">
      <c r="A34" s="51"/>
      <c r="C34" s="51" t="s">
        <v>195</v>
      </c>
      <c r="D34" s="51" t="s">
        <v>196</v>
      </c>
    </row>
    <row r="35" spans="1:4" x14ac:dyDescent="0.2">
      <c r="C35" s="51" t="s">
        <v>197</v>
      </c>
      <c r="D35" s="51" t="s">
        <v>198</v>
      </c>
    </row>
  </sheetData>
  <mergeCells count="1">
    <mergeCell ref="B9:O9"/>
  </mergeCells>
  <hyperlinks>
    <hyperlink ref="D33" r:id="rId1" display="data-enquiries@moh.govt.nz"/>
    <hyperlink ref="B19" r:id="rId2"/>
    <hyperlink ref="B20" r:id="rId3"/>
  </hyperlinks>
  <pageMargins left="0.7" right="0.7" top="0.75" bottom="0.75" header="0.3" footer="0.3"/>
  <pageSetup paperSize="9" scale="71"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zoomScaleNormal="100" workbookViewId="0">
      <selection activeCell="G10" sqref="G10"/>
    </sheetView>
  </sheetViews>
  <sheetFormatPr defaultRowHeight="12.75" x14ac:dyDescent="0.2"/>
  <cols>
    <col min="1" max="1" width="4.7109375" style="124" customWidth="1"/>
    <col min="2" max="2" width="2" style="124" customWidth="1"/>
    <col min="3" max="3" width="34.5703125" style="152" customWidth="1"/>
    <col min="4" max="4" width="135" style="177" customWidth="1"/>
    <col min="5" max="5" width="2.5703125" style="124" customWidth="1"/>
    <col min="6" max="16384" width="9.140625" style="124"/>
  </cols>
  <sheetData>
    <row r="2" spans="1:5" ht="23.25" x14ac:dyDescent="0.2">
      <c r="C2" s="184" t="s">
        <v>99</v>
      </c>
    </row>
    <row r="3" spans="1:5" ht="18" customHeight="1" x14ac:dyDescent="0.2">
      <c r="C3" s="184"/>
    </row>
    <row r="4" spans="1:5" ht="11.25" customHeight="1" x14ac:dyDescent="0.2">
      <c r="A4" s="124" t="s">
        <v>72</v>
      </c>
      <c r="B4" s="51"/>
      <c r="C4" s="185"/>
      <c r="D4" s="180"/>
      <c r="E4" s="51"/>
    </row>
    <row r="5" spans="1:5" ht="23.25" customHeight="1" x14ac:dyDescent="0.2">
      <c r="B5" s="51"/>
      <c r="C5" s="181" t="s">
        <v>200</v>
      </c>
      <c r="D5" s="182" t="s">
        <v>199</v>
      </c>
      <c r="E5" s="51"/>
    </row>
    <row r="6" spans="1:5" ht="20.25" customHeight="1" x14ac:dyDescent="0.2">
      <c r="B6" s="51"/>
      <c r="C6" s="189" t="s">
        <v>218</v>
      </c>
      <c r="D6" s="186"/>
      <c r="E6" s="51"/>
    </row>
    <row r="7" spans="1:5" ht="22.5" customHeight="1" x14ac:dyDescent="0.2">
      <c r="B7" s="51"/>
      <c r="C7" s="178" t="s">
        <v>211</v>
      </c>
      <c r="D7" s="149" t="s">
        <v>257</v>
      </c>
      <c r="E7" s="51"/>
    </row>
    <row r="8" spans="1:5" ht="22.5" customHeight="1" x14ac:dyDescent="0.2">
      <c r="B8" s="51"/>
      <c r="C8" s="178"/>
      <c r="D8" s="266" t="s">
        <v>262</v>
      </c>
      <c r="E8" s="51"/>
    </row>
    <row r="9" spans="1:5" ht="22.5" customHeight="1" x14ac:dyDescent="0.2">
      <c r="B9" s="51"/>
      <c r="C9" s="97"/>
      <c r="D9" s="149" t="s">
        <v>219</v>
      </c>
      <c r="E9" s="51"/>
    </row>
    <row r="10" spans="1:5" ht="44.45" customHeight="1" x14ac:dyDescent="0.2">
      <c r="B10" s="51"/>
      <c r="C10" s="190" t="s">
        <v>205</v>
      </c>
      <c r="D10" s="187" t="s">
        <v>258</v>
      </c>
      <c r="E10" s="51"/>
    </row>
    <row r="11" spans="1:5" ht="47.25" customHeight="1" x14ac:dyDescent="0.2">
      <c r="B11" s="51"/>
      <c r="C11" s="210"/>
      <c r="D11" s="211" t="s">
        <v>237</v>
      </c>
      <c r="E11" s="51"/>
    </row>
    <row r="12" spans="1:5" ht="18" customHeight="1" x14ac:dyDescent="0.2">
      <c r="B12" s="51"/>
      <c r="C12" s="188"/>
      <c r="D12" s="186" t="s">
        <v>214</v>
      </c>
      <c r="E12" s="51"/>
    </row>
    <row r="13" spans="1:5" ht="22.5" customHeight="1" x14ac:dyDescent="0.2">
      <c r="B13" s="51"/>
      <c r="C13" s="188"/>
      <c r="D13" s="186" t="s">
        <v>259</v>
      </c>
      <c r="E13" s="51"/>
    </row>
    <row r="14" spans="1:5" ht="10.5" customHeight="1" x14ac:dyDescent="0.2">
      <c r="B14" s="51"/>
      <c r="C14" s="295"/>
      <c r="D14" s="292"/>
      <c r="E14" s="51"/>
    </row>
    <row r="15" spans="1:5" ht="15.75" customHeight="1" x14ac:dyDescent="0.2">
      <c r="B15" s="51"/>
      <c r="C15" s="113" t="s">
        <v>213</v>
      </c>
      <c r="D15" s="149" t="s">
        <v>217</v>
      </c>
      <c r="E15" s="51"/>
    </row>
    <row r="16" spans="1:5" ht="9" customHeight="1" x14ac:dyDescent="0.2">
      <c r="B16" s="51"/>
      <c r="C16" s="293"/>
      <c r="D16" s="292"/>
      <c r="E16" s="51"/>
    </row>
    <row r="17" spans="2:5" ht="26.25" customHeight="1" x14ac:dyDescent="0.2">
      <c r="B17" s="51"/>
      <c r="C17" s="113" t="s">
        <v>212</v>
      </c>
      <c r="D17" s="149" t="s">
        <v>260</v>
      </c>
      <c r="E17" s="51"/>
    </row>
    <row r="18" spans="2:5" ht="24.75" customHeight="1" x14ac:dyDescent="0.2">
      <c r="B18" s="51"/>
      <c r="C18" s="191" t="s">
        <v>215</v>
      </c>
      <c r="D18" s="187"/>
      <c r="E18" s="51"/>
    </row>
    <row r="19" spans="2:5" x14ac:dyDescent="0.2">
      <c r="B19" s="51"/>
      <c r="C19" s="97"/>
      <c r="D19" s="149"/>
      <c r="E19" s="51"/>
    </row>
    <row r="20" spans="2:5" ht="24.95" customHeight="1" x14ac:dyDescent="0.2">
      <c r="B20" s="51"/>
      <c r="C20" s="178" t="s">
        <v>203</v>
      </c>
      <c r="D20" s="149" t="s">
        <v>216</v>
      </c>
      <c r="E20" s="51"/>
    </row>
    <row r="21" spans="2:5" ht="24.95" customHeight="1" x14ac:dyDescent="0.2">
      <c r="B21" s="51"/>
      <c r="C21" s="178" t="s">
        <v>202</v>
      </c>
      <c r="D21" s="149" t="s">
        <v>204</v>
      </c>
      <c r="E21" s="51"/>
    </row>
    <row r="22" spans="2:5" x14ac:dyDescent="0.2">
      <c r="B22" s="51"/>
      <c r="C22" s="183"/>
      <c r="D22" s="179"/>
      <c r="E22" s="51"/>
    </row>
  </sheetData>
  <hyperlinks>
    <hyperlink ref="C7" location="'Quick facts'!A1" display="Quick facts"/>
    <hyperlink ref="C17" location="'Māori Non-Māori'!A1" display="Māori Non-Māori"/>
    <hyperlink ref="C15" location="'Age Sex'!A1" display="Age Sex"/>
    <hyperlink ref="C20" location="About!A1" display="About"/>
    <hyperlink ref="C21" location="Codes!A1" display="Codes"/>
  </hyperlinks>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8"/>
  <sheetViews>
    <sheetView showGridLines="0" zoomScaleNormal="100" workbookViewId="0">
      <selection activeCell="U12" sqref="U12"/>
    </sheetView>
  </sheetViews>
  <sheetFormatPr defaultRowHeight="12.75" x14ac:dyDescent="0.2"/>
  <cols>
    <col min="1" max="1" width="5.85546875" style="12" customWidth="1"/>
    <col min="2" max="2" width="3.42578125" style="12" customWidth="1"/>
    <col min="3" max="3" width="7.42578125" style="12" customWidth="1"/>
    <col min="4" max="4" width="9.140625" style="12" customWidth="1"/>
    <col min="5" max="7" width="9.140625" style="12"/>
    <col min="8" max="8" width="12.85546875" style="12" customWidth="1"/>
    <col min="9" max="9" width="5.85546875" style="12" customWidth="1"/>
    <col min="10" max="10" width="3.28515625" style="12" customWidth="1"/>
    <col min="11" max="11" width="1.28515625" style="12" customWidth="1"/>
    <col min="12" max="12" width="11" style="12" customWidth="1"/>
    <col min="13" max="15" width="9.140625" style="12"/>
    <col min="16" max="16" width="7.5703125" style="12" customWidth="1"/>
    <col min="17" max="17" width="4" style="212" customWidth="1"/>
    <col min="18" max="18" width="5.28515625" style="153" customWidth="1"/>
    <col min="19" max="19" width="8.140625" style="12" customWidth="1"/>
    <col min="20" max="20" width="2.7109375" style="12" customWidth="1"/>
    <col min="21" max="21" width="9.42578125" style="12" customWidth="1"/>
    <col min="22" max="23" width="10.7109375" style="35" customWidth="1"/>
    <col min="24" max="32" width="8.7109375" style="12" customWidth="1"/>
    <col min="33" max="16384" width="9.140625" style="12"/>
  </cols>
  <sheetData>
    <row r="1" spans="1:25" x14ac:dyDescent="0.2">
      <c r="S1" s="90" t="s">
        <v>226</v>
      </c>
    </row>
    <row r="2" spans="1:25" ht="26.25" x14ac:dyDescent="0.4">
      <c r="C2" s="81" t="s">
        <v>227</v>
      </c>
      <c r="D2" s="81"/>
      <c r="E2" s="63"/>
      <c r="S2" s="90"/>
    </row>
    <row r="3" spans="1:25" ht="13.5" thickBot="1" x14ac:dyDescent="0.25">
      <c r="A3" s="126"/>
      <c r="B3" s="126"/>
      <c r="C3" s="126"/>
      <c r="D3" s="126"/>
      <c r="E3" s="126"/>
      <c r="F3" s="126"/>
      <c r="G3" s="126"/>
      <c r="H3" s="126"/>
      <c r="I3" s="126"/>
      <c r="J3" s="126"/>
      <c r="K3" s="126"/>
      <c r="L3" s="126"/>
      <c r="M3" s="126"/>
      <c r="N3" s="126"/>
      <c r="O3" s="126"/>
      <c r="P3" s="126"/>
      <c r="Q3" s="224"/>
      <c r="S3" s="252"/>
      <c r="T3" s="224"/>
      <c r="U3" s="224"/>
      <c r="V3" s="253"/>
      <c r="W3" s="253"/>
      <c r="X3" s="126"/>
      <c r="Y3" s="126"/>
    </row>
    <row r="4" spans="1:25" ht="14.25" x14ac:dyDescent="0.2">
      <c r="A4" s="126"/>
      <c r="B4" s="57"/>
      <c r="C4" s="64"/>
      <c r="D4" s="64"/>
      <c r="E4" s="64"/>
      <c r="F4" s="64"/>
      <c r="G4" s="64"/>
      <c r="H4" s="64"/>
      <c r="I4" s="64"/>
      <c r="J4" s="64"/>
      <c r="K4" s="64"/>
      <c r="L4" s="64"/>
      <c r="M4" s="64"/>
      <c r="N4" s="64"/>
      <c r="O4" s="64"/>
      <c r="P4" s="225"/>
      <c r="Q4" s="224"/>
      <c r="R4" s="35"/>
      <c r="S4" s="229"/>
      <c r="T4" s="253"/>
      <c r="U4" s="253"/>
      <c r="V4" s="253"/>
      <c r="W4" s="253"/>
      <c r="X4" s="144"/>
      <c r="Y4" s="142"/>
    </row>
    <row r="5" spans="1:25" ht="15" x14ac:dyDescent="0.2">
      <c r="A5" s="126"/>
      <c r="B5" s="58"/>
      <c r="C5" s="143" t="s">
        <v>261</v>
      </c>
      <c r="D5" s="52"/>
      <c r="E5" s="65"/>
      <c r="F5" s="65"/>
      <c r="G5" s="65"/>
      <c r="H5" s="65"/>
      <c r="I5" s="65"/>
      <c r="J5" s="65"/>
      <c r="K5" s="65"/>
      <c r="L5" s="65"/>
      <c r="M5" s="65"/>
      <c r="N5" s="65"/>
      <c r="O5" s="65"/>
      <c r="P5" s="226"/>
      <c r="Q5" s="224"/>
      <c r="R5" s="35"/>
      <c r="S5" s="229"/>
      <c r="T5" s="253"/>
      <c r="U5" s="254"/>
      <c r="V5" s="253"/>
      <c r="W5" s="255"/>
      <c r="X5" s="138"/>
      <c r="Y5" s="139"/>
    </row>
    <row r="6" spans="1:25" ht="14.25" x14ac:dyDescent="0.2">
      <c r="A6" s="126"/>
      <c r="B6" s="58"/>
      <c r="C6" s="52"/>
      <c r="D6" s="145"/>
      <c r="E6" s="145"/>
      <c r="F6" s="145"/>
      <c r="G6" s="145"/>
      <c r="H6" s="145"/>
      <c r="I6" s="145"/>
      <c r="J6" s="145"/>
      <c r="K6" s="145"/>
      <c r="L6" s="145"/>
      <c r="M6" s="145"/>
      <c r="N6" s="145"/>
      <c r="O6" s="145"/>
      <c r="P6" s="226"/>
      <c r="Q6" s="224"/>
      <c r="R6" s="35"/>
      <c r="S6" s="229"/>
      <c r="T6" s="253"/>
      <c r="U6" s="253"/>
      <c r="V6" s="256"/>
      <c r="W6" s="257"/>
      <c r="X6" s="141"/>
      <c r="Y6" s="139"/>
    </row>
    <row r="7" spans="1:25" ht="14.25" x14ac:dyDescent="0.2">
      <c r="A7" s="126"/>
      <c r="B7" s="58"/>
      <c r="C7" s="222" t="s">
        <v>209</v>
      </c>
      <c r="D7" s="278" t="s">
        <v>264</v>
      </c>
      <c r="E7" s="279"/>
      <c r="F7" s="279"/>
      <c r="G7" s="279"/>
      <c r="H7" s="279"/>
      <c r="I7" s="279"/>
      <c r="J7" s="279"/>
      <c r="K7" s="261"/>
      <c r="L7" s="261"/>
      <c r="M7" s="145"/>
      <c r="N7" s="145"/>
      <c r="O7" s="145"/>
      <c r="P7" s="226"/>
      <c r="Q7" s="224"/>
      <c r="S7" s="212"/>
      <c r="T7" s="224"/>
      <c r="U7" s="258"/>
      <c r="V7" s="259"/>
      <c r="W7" s="259"/>
      <c r="X7" s="141"/>
      <c r="Y7" s="141"/>
    </row>
    <row r="8" spans="1:25" ht="14.25" x14ac:dyDescent="0.2">
      <c r="A8" s="126"/>
      <c r="B8" s="58"/>
      <c r="C8" s="222" t="s">
        <v>209</v>
      </c>
      <c r="D8" s="278" t="s">
        <v>265</v>
      </c>
      <c r="E8" s="279"/>
      <c r="F8" s="279"/>
      <c r="G8" s="279"/>
      <c r="H8" s="279"/>
      <c r="I8" s="279"/>
      <c r="J8" s="279"/>
      <c r="K8" s="261"/>
      <c r="L8" s="261"/>
      <c r="M8" s="145"/>
      <c r="N8" s="145"/>
      <c r="O8" s="145"/>
      <c r="P8" s="226"/>
      <c r="Q8" s="224"/>
      <c r="S8" s="212"/>
      <c r="T8" s="224"/>
      <c r="U8" s="258"/>
      <c r="V8" s="259"/>
      <c r="W8" s="259"/>
      <c r="X8" s="138"/>
      <c r="Y8" s="139"/>
    </row>
    <row r="9" spans="1:25" ht="14.25" x14ac:dyDescent="0.2">
      <c r="A9" s="126"/>
      <c r="B9" s="58"/>
      <c r="C9" s="222"/>
      <c r="D9" s="280"/>
      <c r="E9" s="279"/>
      <c r="F9" s="279"/>
      <c r="G9" s="279"/>
      <c r="H9" s="279"/>
      <c r="I9" s="279"/>
      <c r="J9" s="279"/>
      <c r="K9" s="261"/>
      <c r="L9" s="261"/>
      <c r="M9" s="145"/>
      <c r="N9" s="145"/>
      <c r="O9" s="145"/>
      <c r="P9" s="226"/>
      <c r="Q9" s="224"/>
      <c r="S9" s="212"/>
      <c r="T9" s="224"/>
      <c r="U9" s="258"/>
      <c r="V9" s="259"/>
      <c r="W9" s="259"/>
      <c r="X9" s="138"/>
      <c r="Y9" s="139"/>
    </row>
    <row r="10" spans="1:25" ht="14.25" x14ac:dyDescent="0.2">
      <c r="A10" s="126"/>
      <c r="B10" s="58"/>
      <c r="C10" s="222" t="s">
        <v>209</v>
      </c>
      <c r="D10" s="278" t="s">
        <v>266</v>
      </c>
      <c r="E10" s="279"/>
      <c r="F10" s="279"/>
      <c r="G10" s="279"/>
      <c r="H10" s="279"/>
      <c r="I10" s="279"/>
      <c r="J10" s="279"/>
      <c r="K10" s="261"/>
      <c r="L10" s="261"/>
      <c r="M10" s="145"/>
      <c r="N10" s="145"/>
      <c r="O10" s="145"/>
      <c r="P10" s="226"/>
      <c r="Q10" s="224"/>
      <c r="S10" s="212"/>
      <c r="T10" s="224"/>
      <c r="U10" s="258"/>
      <c r="V10" s="259"/>
      <c r="W10" s="259"/>
      <c r="X10" s="138"/>
      <c r="Y10" s="139"/>
    </row>
    <row r="11" spans="1:25" ht="14.25" x14ac:dyDescent="0.2">
      <c r="A11" s="126"/>
      <c r="B11" s="58"/>
      <c r="C11" s="222" t="s">
        <v>209</v>
      </c>
      <c r="D11" s="278" t="s">
        <v>267</v>
      </c>
      <c r="E11" s="279"/>
      <c r="F11" s="279"/>
      <c r="G11" s="279"/>
      <c r="H11" s="279"/>
      <c r="I11" s="279"/>
      <c r="J11" s="279"/>
      <c r="K11" s="261"/>
      <c r="L11" s="261"/>
      <c r="M11" s="145"/>
      <c r="N11" s="145"/>
      <c r="O11" s="145"/>
      <c r="P11" s="226"/>
      <c r="Q11" s="224"/>
      <c r="S11" s="212"/>
      <c r="T11" s="224"/>
      <c r="U11" s="258"/>
      <c r="V11" s="259"/>
      <c r="W11" s="259"/>
      <c r="X11" s="138"/>
      <c r="Y11" s="139"/>
    </row>
    <row r="12" spans="1:25" ht="15.75" customHeight="1" x14ac:dyDescent="0.2">
      <c r="A12" s="126"/>
      <c r="B12" s="58"/>
      <c r="C12" s="222"/>
      <c r="D12" s="280"/>
      <c r="E12" s="279"/>
      <c r="F12" s="279"/>
      <c r="G12" s="279"/>
      <c r="H12" s="279"/>
      <c r="I12" s="279"/>
      <c r="J12" s="279"/>
      <c r="K12" s="261"/>
      <c r="L12" s="261"/>
      <c r="M12" s="145"/>
      <c r="N12" s="145"/>
      <c r="O12" s="145"/>
      <c r="P12" s="226"/>
      <c r="Q12" s="224"/>
      <c r="S12" s="212"/>
      <c r="T12" s="224"/>
      <c r="U12" s="258"/>
      <c r="V12" s="259"/>
      <c r="W12" s="259"/>
      <c r="X12" s="139"/>
      <c r="Y12" s="139"/>
    </row>
    <row r="13" spans="1:25" ht="15.75" customHeight="1" x14ac:dyDescent="0.2">
      <c r="A13" s="126"/>
      <c r="B13" s="58"/>
      <c r="C13" s="222" t="s">
        <v>209</v>
      </c>
      <c r="D13" s="278" t="s">
        <v>269</v>
      </c>
      <c r="E13" s="279"/>
      <c r="F13" s="279"/>
      <c r="G13" s="279"/>
      <c r="H13" s="279"/>
      <c r="I13" s="279"/>
      <c r="J13" s="279"/>
      <c r="K13" s="261"/>
      <c r="L13" s="261"/>
      <c r="M13" s="145"/>
      <c r="N13" s="145"/>
      <c r="O13" s="145"/>
      <c r="P13" s="226"/>
      <c r="Q13" s="224"/>
      <c r="S13" s="212"/>
      <c r="T13" s="224"/>
      <c r="U13" s="258"/>
      <c r="V13" s="259"/>
      <c r="W13" s="259"/>
      <c r="X13" s="139"/>
      <c r="Y13" s="139"/>
    </row>
    <row r="14" spans="1:25" ht="14.25" x14ac:dyDescent="0.2">
      <c r="A14" s="126"/>
      <c r="B14" s="58"/>
      <c r="C14" s="222" t="s">
        <v>209</v>
      </c>
      <c r="D14" s="278" t="s">
        <v>268</v>
      </c>
      <c r="E14" s="279"/>
      <c r="F14" s="279"/>
      <c r="G14" s="279"/>
      <c r="H14" s="279"/>
      <c r="I14" s="279"/>
      <c r="J14" s="279"/>
      <c r="K14" s="261"/>
      <c r="L14" s="261"/>
      <c r="M14" s="145"/>
      <c r="N14" s="145"/>
      <c r="O14" s="145"/>
      <c r="P14" s="226"/>
      <c r="Q14" s="224"/>
      <c r="S14" s="212"/>
      <c r="T14" s="224"/>
      <c r="U14" s="258"/>
      <c r="V14" s="259"/>
      <c r="W14" s="259"/>
      <c r="X14" s="138"/>
      <c r="Y14" s="139"/>
    </row>
    <row r="15" spans="1:25" ht="14.25" x14ac:dyDescent="0.2">
      <c r="A15" s="126"/>
      <c r="B15" s="58"/>
      <c r="C15" s="222"/>
      <c r="D15" s="280"/>
      <c r="E15" s="279"/>
      <c r="F15" s="279"/>
      <c r="G15" s="279"/>
      <c r="H15" s="279"/>
      <c r="I15" s="279"/>
      <c r="J15" s="279"/>
      <c r="K15" s="261"/>
      <c r="L15" s="261"/>
      <c r="M15" s="145"/>
      <c r="N15" s="145"/>
      <c r="O15" s="145"/>
      <c r="P15" s="226"/>
      <c r="Q15" s="224"/>
      <c r="S15" s="212"/>
      <c r="T15" s="224"/>
      <c r="U15" s="258"/>
      <c r="V15" s="259"/>
      <c r="W15" s="259"/>
      <c r="X15" s="139"/>
      <c r="Y15" s="139"/>
    </row>
    <row r="16" spans="1:25" ht="17.25" customHeight="1" x14ac:dyDescent="0.2">
      <c r="A16" s="126"/>
      <c r="B16" s="58"/>
      <c r="C16" s="222" t="s">
        <v>209</v>
      </c>
      <c r="D16" s="278" t="s">
        <v>270</v>
      </c>
      <c r="E16" s="279"/>
      <c r="F16" s="279"/>
      <c r="G16" s="279"/>
      <c r="H16" s="279"/>
      <c r="I16" s="279"/>
      <c r="J16" s="279"/>
      <c r="K16" s="261"/>
      <c r="L16" s="261"/>
      <c r="M16" s="145"/>
      <c r="N16" s="145"/>
      <c r="O16" s="145"/>
      <c r="P16" s="226"/>
      <c r="Q16" s="224"/>
      <c r="S16" s="212"/>
      <c r="T16" s="224"/>
      <c r="U16" s="258"/>
      <c r="V16" s="259"/>
      <c r="W16" s="259"/>
      <c r="X16" s="138"/>
      <c r="Y16" s="139"/>
    </row>
    <row r="17" spans="1:38" ht="17.25" customHeight="1" x14ac:dyDescent="0.2">
      <c r="A17" s="294"/>
      <c r="B17" s="52"/>
      <c r="C17" s="222" t="s">
        <v>209</v>
      </c>
      <c r="D17" s="278" t="s">
        <v>271</v>
      </c>
      <c r="E17" s="279"/>
      <c r="F17" s="279"/>
      <c r="G17" s="279"/>
      <c r="H17" s="279"/>
      <c r="I17" s="279"/>
      <c r="J17" s="279"/>
      <c r="K17" s="261"/>
      <c r="L17" s="261"/>
      <c r="M17" s="145"/>
      <c r="N17" s="145"/>
      <c r="O17" s="145"/>
      <c r="P17" s="226"/>
      <c r="Q17" s="224"/>
      <c r="S17" s="212"/>
      <c r="T17" s="224"/>
      <c r="U17" s="258"/>
      <c r="V17" s="259"/>
      <c r="W17" s="259"/>
      <c r="X17" s="138"/>
      <c r="Y17" s="139"/>
    </row>
    <row r="18" spans="1:38" ht="20.25" customHeight="1" thickBot="1" x14ac:dyDescent="0.25">
      <c r="A18" s="294"/>
      <c r="B18" s="281"/>
      <c r="C18" s="267"/>
      <c r="D18" s="267"/>
      <c r="E18" s="281"/>
      <c r="F18" s="267"/>
      <c r="G18" s="267"/>
      <c r="H18" s="281"/>
      <c r="I18" s="267"/>
      <c r="J18" s="281"/>
      <c r="K18" s="267"/>
      <c r="L18" s="267"/>
      <c r="M18" s="260"/>
      <c r="N18" s="260"/>
      <c r="O18" s="260"/>
      <c r="P18" s="227"/>
      <c r="Q18" s="224"/>
      <c r="S18" s="212"/>
      <c r="T18" s="224"/>
      <c r="U18" s="258"/>
      <c r="V18" s="259"/>
      <c r="W18" s="259"/>
      <c r="X18" s="138"/>
      <c r="Y18" s="139"/>
    </row>
    <row r="19" spans="1:38" ht="18.75" customHeight="1" x14ac:dyDescent="0.2">
      <c r="A19" s="126"/>
      <c r="B19" s="126"/>
      <c r="C19" s="126"/>
      <c r="D19" s="126"/>
      <c r="E19" s="126"/>
      <c r="F19" s="126"/>
      <c r="G19" s="126"/>
      <c r="H19" s="126"/>
      <c r="I19" s="126"/>
      <c r="J19" s="126"/>
      <c r="K19" s="126"/>
      <c r="L19" s="126"/>
      <c r="M19" s="126"/>
      <c r="N19" s="126"/>
      <c r="O19" s="126"/>
      <c r="P19" s="126"/>
      <c r="Q19" s="224"/>
      <c r="S19" s="224"/>
      <c r="T19" s="224"/>
      <c r="U19" s="224"/>
      <c r="V19" s="224"/>
      <c r="W19" s="224"/>
    </row>
    <row r="20" spans="1:38" x14ac:dyDescent="0.2">
      <c r="A20" s="126"/>
      <c r="B20" s="126"/>
      <c r="C20" s="126"/>
      <c r="D20" s="126"/>
      <c r="E20" s="126"/>
      <c r="F20" s="126"/>
      <c r="G20" s="126"/>
      <c r="H20" s="126"/>
      <c r="I20" s="126"/>
      <c r="J20" s="126"/>
      <c r="K20" s="126"/>
      <c r="L20" s="126"/>
      <c r="M20" s="126"/>
      <c r="N20" s="126"/>
      <c r="O20" s="126"/>
      <c r="P20" s="126"/>
      <c r="Q20" s="224"/>
      <c r="T20" s="29"/>
      <c r="U20" s="29"/>
    </row>
    <row r="21" spans="1:38" x14ac:dyDescent="0.2">
      <c r="B21" s="52"/>
      <c r="C21" s="51"/>
      <c r="D21" s="51"/>
      <c r="E21" s="51"/>
      <c r="F21" s="51"/>
      <c r="G21" s="51"/>
      <c r="H21" s="51"/>
      <c r="I21" s="51"/>
      <c r="J21" s="51"/>
      <c r="K21" s="51"/>
      <c r="L21" s="51"/>
      <c r="M21" s="51"/>
      <c r="N21" s="51"/>
      <c r="O21" s="51"/>
      <c r="P21" s="154"/>
      <c r="R21" s="12"/>
      <c r="S21" s="35"/>
    </row>
    <row r="22" spans="1:38" ht="15" x14ac:dyDescent="0.25">
      <c r="B22" s="51"/>
      <c r="C22" s="66" t="s">
        <v>255</v>
      </c>
      <c r="D22" s="51"/>
      <c r="E22" s="51"/>
      <c r="F22" s="51"/>
      <c r="G22" s="51"/>
      <c r="H22" s="51"/>
      <c r="I22" s="51"/>
      <c r="J22" s="51"/>
      <c r="K22" s="51"/>
      <c r="L22" s="51"/>
      <c r="M22" s="51"/>
      <c r="N22" s="51"/>
      <c r="O22" s="51"/>
      <c r="P22" s="154"/>
      <c r="R22" s="12"/>
      <c r="T22" s="163" t="s">
        <v>256</v>
      </c>
      <c r="U22" s="163"/>
      <c r="W22" s="18"/>
      <c r="X22" s="83"/>
      <c r="Y22" s="83"/>
      <c r="Z22" s="83"/>
      <c r="AA22" s="83"/>
      <c r="AB22" s="83"/>
      <c r="AC22" s="83"/>
      <c r="AD22" s="83"/>
      <c r="AE22" s="83"/>
      <c r="AF22" s="14"/>
    </row>
    <row r="23" spans="1:38" ht="15" x14ac:dyDescent="0.2">
      <c r="B23" s="51"/>
      <c r="C23" s="51"/>
      <c r="D23" s="51"/>
      <c r="E23" s="51"/>
      <c r="F23" s="51"/>
      <c r="G23" s="51"/>
      <c r="H23" s="51"/>
      <c r="I23" s="51"/>
      <c r="J23" s="51"/>
      <c r="K23" s="51"/>
      <c r="L23" s="51"/>
      <c r="M23" s="51"/>
      <c r="N23" s="51"/>
      <c r="O23" s="51"/>
      <c r="P23" s="154"/>
      <c r="R23" s="12"/>
      <c r="T23" s="35"/>
      <c r="U23" s="35"/>
      <c r="W23" s="168"/>
      <c r="X23" s="84"/>
      <c r="Y23" s="84"/>
      <c r="Z23" s="84"/>
      <c r="AA23" s="84"/>
      <c r="AB23" s="84"/>
      <c r="AC23" s="84"/>
      <c r="AD23" s="84"/>
      <c r="AE23" s="84"/>
      <c r="AF23" s="14"/>
    </row>
    <row r="24" spans="1:38" x14ac:dyDescent="0.2">
      <c r="B24" s="51"/>
      <c r="C24" s="51"/>
      <c r="D24" s="51"/>
      <c r="E24" s="51"/>
      <c r="F24" s="51"/>
      <c r="G24" s="51"/>
      <c r="H24" s="51"/>
      <c r="I24" s="51"/>
      <c r="J24" s="51"/>
      <c r="K24" s="51"/>
      <c r="L24" s="51"/>
      <c r="M24" s="51"/>
      <c r="N24" s="51"/>
      <c r="O24" s="51"/>
      <c r="P24" s="154"/>
      <c r="R24" s="12"/>
      <c r="T24" s="86" t="s">
        <v>1</v>
      </c>
      <c r="U24" s="86"/>
      <c r="V24" s="86"/>
      <c r="W24" s="170"/>
      <c r="X24" s="171">
        <v>2007</v>
      </c>
      <c r="Y24" s="171">
        <v>2008</v>
      </c>
      <c r="Z24" s="171">
        <v>2009</v>
      </c>
      <c r="AA24" s="171">
        <v>2010</v>
      </c>
      <c r="AB24" s="171">
        <v>2011</v>
      </c>
      <c r="AC24" s="171">
        <v>2012</v>
      </c>
      <c r="AD24" s="171">
        <v>2013</v>
      </c>
      <c r="AE24" s="171">
        <v>2014</v>
      </c>
      <c r="AF24" s="172">
        <v>2015</v>
      </c>
      <c r="AG24" s="172">
        <v>2016</v>
      </c>
      <c r="AI24" s="20"/>
      <c r="AJ24" s="20"/>
      <c r="AK24" s="20"/>
      <c r="AL24" s="21"/>
    </row>
    <row r="25" spans="1:38" x14ac:dyDescent="0.2">
      <c r="B25" s="51"/>
      <c r="C25" s="51"/>
      <c r="D25" s="51"/>
      <c r="E25" s="51"/>
      <c r="F25" s="51"/>
      <c r="G25" s="51"/>
      <c r="H25" s="51"/>
      <c r="I25" s="51"/>
      <c r="J25" s="51"/>
      <c r="K25" s="51"/>
      <c r="L25" s="51"/>
      <c r="M25" s="51"/>
      <c r="N25" s="51"/>
      <c r="O25" s="51"/>
      <c r="P25" s="154"/>
      <c r="R25" s="12"/>
      <c r="T25" s="23"/>
      <c r="U25" s="23"/>
      <c r="V25" s="23"/>
      <c r="W25" s="169"/>
      <c r="X25" s="84"/>
      <c r="Y25" s="84"/>
      <c r="Z25" s="84"/>
      <c r="AA25" s="84"/>
      <c r="AB25" s="84"/>
      <c r="AC25" s="84"/>
      <c r="AD25" s="84"/>
      <c r="AE25" s="84"/>
      <c r="AF25" s="14"/>
      <c r="AG25" s="14"/>
      <c r="AI25" s="22"/>
      <c r="AJ25" s="22"/>
      <c r="AK25" s="22"/>
    </row>
    <row r="26" spans="1:38" x14ac:dyDescent="0.2">
      <c r="B26" s="51"/>
      <c r="C26" s="51"/>
      <c r="D26" s="51"/>
      <c r="E26" s="51"/>
      <c r="F26" s="51"/>
      <c r="G26" s="51"/>
      <c r="H26" s="51"/>
      <c r="I26" s="51"/>
      <c r="J26" s="51"/>
      <c r="K26" s="51"/>
      <c r="L26" s="51"/>
      <c r="M26" s="51"/>
      <c r="N26" s="51"/>
      <c r="O26" s="51"/>
      <c r="P26" s="154"/>
      <c r="R26" s="12"/>
      <c r="T26" s="23" t="s">
        <v>0</v>
      </c>
      <c r="U26" s="23"/>
      <c r="V26" s="23" t="s">
        <v>6</v>
      </c>
      <c r="W26" s="169" t="s">
        <v>18</v>
      </c>
      <c r="X26" s="162">
        <f t="shared" ref="X26:AG26" si="0">VLOOKUP(X$24&amp;"AllSex"&amp;"AllEth"&amp;19,agesextable,6,FALSE)</f>
        <v>501</v>
      </c>
      <c r="Y26" s="162">
        <f t="shared" si="0"/>
        <v>518</v>
      </c>
      <c r="Z26" s="162">
        <f t="shared" si="0"/>
        <v>512</v>
      </c>
      <c r="AA26" s="162">
        <f t="shared" si="0"/>
        <v>534</v>
      </c>
      <c r="AB26" s="162">
        <f t="shared" si="0"/>
        <v>494</v>
      </c>
      <c r="AC26" s="162">
        <f t="shared" si="0"/>
        <v>550</v>
      </c>
      <c r="AD26" s="162">
        <f t="shared" si="0"/>
        <v>513</v>
      </c>
      <c r="AE26" s="162">
        <f t="shared" si="0"/>
        <v>510</v>
      </c>
      <c r="AF26" s="162">
        <f t="shared" si="0"/>
        <v>529</v>
      </c>
      <c r="AG26" s="162">
        <f t="shared" si="0"/>
        <v>553</v>
      </c>
      <c r="AI26" s="22"/>
      <c r="AJ26" s="22"/>
      <c r="AK26" s="22"/>
    </row>
    <row r="27" spans="1:38" x14ac:dyDescent="0.2">
      <c r="B27" s="51"/>
      <c r="C27" s="51"/>
      <c r="D27" s="54"/>
      <c r="E27" s="54"/>
      <c r="F27" s="54"/>
      <c r="G27" s="54"/>
      <c r="H27" s="54"/>
      <c r="I27" s="54"/>
      <c r="J27" s="54"/>
      <c r="K27" s="54"/>
      <c r="L27" s="54"/>
      <c r="M27" s="51"/>
      <c r="N27" s="51"/>
      <c r="O27" s="51"/>
      <c r="P27" s="154"/>
      <c r="R27" s="12"/>
      <c r="T27" s="23" t="s">
        <v>17</v>
      </c>
      <c r="U27" s="23"/>
      <c r="V27" s="23"/>
      <c r="W27" s="27"/>
      <c r="X27" s="85">
        <f t="shared" ref="X27:AF27" si="1">VLOOKUP(X24&amp;"Male"&amp;"AllEth"&amp;19,agesextable,6,FALSE)</f>
        <v>381</v>
      </c>
      <c r="Y27" s="85">
        <f t="shared" si="1"/>
        <v>379</v>
      </c>
      <c r="Z27" s="85">
        <f t="shared" si="1"/>
        <v>394</v>
      </c>
      <c r="AA27" s="85">
        <f t="shared" si="1"/>
        <v>387</v>
      </c>
      <c r="AB27" s="85">
        <f t="shared" si="1"/>
        <v>377</v>
      </c>
      <c r="AC27" s="85">
        <f t="shared" si="1"/>
        <v>405</v>
      </c>
      <c r="AD27" s="85">
        <f t="shared" si="1"/>
        <v>365</v>
      </c>
      <c r="AE27" s="85">
        <f t="shared" si="1"/>
        <v>379</v>
      </c>
      <c r="AF27" s="85">
        <f t="shared" si="1"/>
        <v>386</v>
      </c>
      <c r="AG27" s="85">
        <f t="shared" ref="AG27" si="2">VLOOKUP(AG24&amp;"Male"&amp;"AllEth"&amp;19,agesextable,6,FALSE)</f>
        <v>412</v>
      </c>
      <c r="AI27" s="22"/>
      <c r="AJ27" s="22"/>
      <c r="AK27" s="22"/>
    </row>
    <row r="28" spans="1:38" x14ac:dyDescent="0.2">
      <c r="B28" s="51"/>
      <c r="C28" s="51"/>
      <c r="D28" s="51"/>
      <c r="E28" s="51"/>
      <c r="F28" s="51"/>
      <c r="G28" s="51"/>
      <c r="H28" s="51"/>
      <c r="I28" s="51"/>
      <c r="J28" s="51"/>
      <c r="K28" s="51"/>
      <c r="L28" s="51"/>
      <c r="M28" s="51"/>
      <c r="N28" s="51"/>
      <c r="O28" s="51"/>
      <c r="P28" s="154"/>
      <c r="R28" s="12"/>
      <c r="T28" s="23" t="s">
        <v>5</v>
      </c>
      <c r="U28" s="23"/>
      <c r="V28" s="23"/>
      <c r="W28" s="27"/>
      <c r="X28" s="85">
        <f t="shared" ref="X28:AF28" si="3">VLOOKUP(X24&amp;"Female"&amp;"AllEth"&amp;19,agesextable,6,FALSE)</f>
        <v>120</v>
      </c>
      <c r="Y28" s="85">
        <f t="shared" si="3"/>
        <v>139</v>
      </c>
      <c r="Z28" s="85">
        <f t="shared" si="3"/>
        <v>118</v>
      </c>
      <c r="AA28" s="85">
        <f t="shared" si="3"/>
        <v>147</v>
      </c>
      <c r="AB28" s="85">
        <f t="shared" si="3"/>
        <v>117</v>
      </c>
      <c r="AC28" s="85">
        <f t="shared" si="3"/>
        <v>145</v>
      </c>
      <c r="AD28" s="85">
        <f t="shared" si="3"/>
        <v>148</v>
      </c>
      <c r="AE28" s="85">
        <f t="shared" si="3"/>
        <v>131</v>
      </c>
      <c r="AF28" s="85">
        <f t="shared" si="3"/>
        <v>143</v>
      </c>
      <c r="AG28" s="85">
        <f t="shared" ref="AG28" si="4">VLOOKUP(AG24&amp;"Female"&amp;"AllEth"&amp;19,agesextable,6,FALSE)</f>
        <v>141</v>
      </c>
      <c r="AI28" s="22"/>
      <c r="AJ28" s="22"/>
      <c r="AK28" s="22"/>
    </row>
    <row r="29" spans="1:38" x14ac:dyDescent="0.2">
      <c r="B29" s="51"/>
      <c r="C29" s="51"/>
      <c r="D29" s="51"/>
      <c r="E29" s="51"/>
      <c r="F29" s="51"/>
      <c r="G29" s="51"/>
      <c r="H29" s="51"/>
      <c r="I29" s="51"/>
      <c r="J29" s="51"/>
      <c r="K29" s="51"/>
      <c r="L29" s="51"/>
      <c r="M29" s="51"/>
      <c r="N29" s="51"/>
      <c r="O29" s="51"/>
      <c r="P29" s="154"/>
      <c r="R29" s="12"/>
      <c r="T29" s="25"/>
      <c r="U29" s="25"/>
      <c r="V29" s="25"/>
      <c r="W29" s="25"/>
      <c r="X29" s="88"/>
      <c r="Y29" s="88"/>
      <c r="Z29" s="88"/>
      <c r="AA29" s="88"/>
      <c r="AB29" s="88"/>
      <c r="AC29" s="88"/>
      <c r="AD29" s="88"/>
      <c r="AE29" s="88"/>
      <c r="AF29" s="24"/>
      <c r="AG29" s="24"/>
      <c r="AI29" s="22"/>
      <c r="AJ29" s="22"/>
      <c r="AK29" s="22"/>
    </row>
    <row r="30" spans="1:38" x14ac:dyDescent="0.2">
      <c r="B30" s="51"/>
      <c r="C30" s="51"/>
      <c r="D30" s="51"/>
      <c r="E30" s="51"/>
      <c r="F30" s="51"/>
      <c r="G30" s="51"/>
      <c r="H30" s="51"/>
      <c r="I30" s="51"/>
      <c r="J30" s="51"/>
      <c r="K30" s="51"/>
      <c r="L30" s="51"/>
      <c r="M30" s="51"/>
      <c r="N30" s="51"/>
      <c r="O30" s="51"/>
      <c r="P30" s="154"/>
      <c r="R30" s="12"/>
      <c r="T30" s="23" t="s">
        <v>0</v>
      </c>
      <c r="U30" s="23"/>
      <c r="V30" s="23" t="s">
        <v>6</v>
      </c>
      <c r="W30" s="27" t="s">
        <v>19</v>
      </c>
      <c r="X30" s="36">
        <f t="shared" ref="X30:AF30" si="5">VLOOKUP(X24&amp;"AllSex"&amp;"AllEth"&amp;19,agesextable,7,FALSE)</f>
        <v>11.3776715520784</v>
      </c>
      <c r="Y30" s="36">
        <f t="shared" si="5"/>
        <v>11.809655272717</v>
      </c>
      <c r="Z30" s="36">
        <f t="shared" si="5"/>
        <v>11.484055558810701</v>
      </c>
      <c r="AA30" s="36">
        <f t="shared" si="5"/>
        <v>11.9073434349195</v>
      </c>
      <c r="AB30" s="36">
        <f t="shared" si="5"/>
        <v>11.118020247642701</v>
      </c>
      <c r="AC30" s="36">
        <f t="shared" si="5"/>
        <v>12.338278444361899</v>
      </c>
      <c r="AD30" s="36">
        <f t="shared" si="5"/>
        <v>11.0080199296969</v>
      </c>
      <c r="AE30" s="36">
        <f t="shared" si="5"/>
        <v>10.808867367895701</v>
      </c>
      <c r="AF30" s="36">
        <f t="shared" si="5"/>
        <v>11.0870646638965</v>
      </c>
      <c r="AG30" s="36">
        <f t="shared" ref="AG30" si="6">VLOOKUP(AG24&amp;"AllSex"&amp;"AllEth"&amp;19,agesextable,7,FALSE)</f>
        <v>11.303636553634</v>
      </c>
      <c r="AI30" s="36"/>
      <c r="AJ30" s="22"/>
      <c r="AK30" s="22"/>
    </row>
    <row r="31" spans="1:38" x14ac:dyDescent="0.2">
      <c r="B31" s="51"/>
      <c r="C31" s="51"/>
      <c r="D31" s="51"/>
      <c r="E31" s="51"/>
      <c r="F31" s="51"/>
      <c r="G31" s="51"/>
      <c r="H31" s="51"/>
      <c r="I31" s="51"/>
      <c r="J31" s="51"/>
      <c r="K31" s="51"/>
      <c r="L31" s="51"/>
      <c r="M31" s="51"/>
      <c r="N31" s="51"/>
      <c r="O31" s="51"/>
      <c r="P31" s="154"/>
      <c r="R31" s="12"/>
      <c r="T31" s="23" t="s">
        <v>17</v>
      </c>
      <c r="U31" s="23"/>
      <c r="V31" s="23"/>
      <c r="W31" s="27"/>
      <c r="X31" s="36">
        <f t="shared" ref="X31:AF31" si="7">VLOOKUP(X24&amp;"Male"&amp;"AllEth"&amp;19,agesextable,7,FALSE)</f>
        <v>17.981880281474702</v>
      </c>
      <c r="Y31" s="36">
        <f t="shared" si="7"/>
        <v>17.700121249097698</v>
      </c>
      <c r="Z31" s="36">
        <f t="shared" si="7"/>
        <v>18.249471294450601</v>
      </c>
      <c r="AA31" s="36">
        <f t="shared" si="7"/>
        <v>17.638688314312301</v>
      </c>
      <c r="AB31" s="36">
        <f t="shared" si="7"/>
        <v>17.402217133944198</v>
      </c>
      <c r="AC31" s="36">
        <f t="shared" si="7"/>
        <v>18.616289554563799</v>
      </c>
      <c r="AD31" s="36">
        <f t="shared" si="7"/>
        <v>15.8972409761442</v>
      </c>
      <c r="AE31" s="36">
        <f t="shared" si="7"/>
        <v>16.4366760918771</v>
      </c>
      <c r="AF31" s="36">
        <f t="shared" si="7"/>
        <v>16.433078219363999</v>
      </c>
      <c r="AG31" s="36">
        <f t="shared" ref="AG31" si="8">VLOOKUP(AG24&amp;"Male"&amp;"AllEth"&amp;19,agesextable,7,FALSE)</f>
        <v>16.972070209267699</v>
      </c>
      <c r="AI31" s="36"/>
      <c r="AJ31" s="22"/>
      <c r="AK31" s="22"/>
    </row>
    <row r="32" spans="1:38" x14ac:dyDescent="0.2">
      <c r="B32" s="51"/>
      <c r="C32" s="51"/>
      <c r="D32" s="51"/>
      <c r="E32" s="51"/>
      <c r="F32" s="51"/>
      <c r="G32" s="51"/>
      <c r="H32" s="51"/>
      <c r="I32" s="51"/>
      <c r="J32" s="51"/>
      <c r="K32" s="51"/>
      <c r="L32" s="51"/>
      <c r="M32" s="51"/>
      <c r="N32" s="51"/>
      <c r="O32" s="51"/>
      <c r="P32" s="154"/>
      <c r="R32" s="12"/>
      <c r="T32" s="23" t="s">
        <v>5</v>
      </c>
      <c r="U32" s="23"/>
      <c r="V32" s="23"/>
      <c r="W32" s="116"/>
      <c r="X32" s="36">
        <f t="shared" ref="X32:AF32" si="9">VLOOKUP(X24&amp;"Female"&amp;"AllEth"&amp;19,agesextable,7,FALSE)</f>
        <v>5.16144825407138</v>
      </c>
      <c r="Y32" s="36">
        <f t="shared" si="9"/>
        <v>6.26512973729122</v>
      </c>
      <c r="Z32" s="36">
        <f t="shared" si="9"/>
        <v>5.08858477285475</v>
      </c>
      <c r="AA32" s="36">
        <f t="shared" si="9"/>
        <v>6.5442717734968303</v>
      </c>
      <c r="AB32" s="36">
        <f t="shared" si="9"/>
        <v>5.1499552709199499</v>
      </c>
      <c r="AC32" s="36">
        <f t="shared" si="9"/>
        <v>6.37288192291782</v>
      </c>
      <c r="AD32" s="36">
        <f t="shared" si="9"/>
        <v>6.4674511523826501</v>
      </c>
      <c r="AE32" s="36">
        <f t="shared" si="9"/>
        <v>5.4860225639845002</v>
      </c>
      <c r="AF32" s="36">
        <f t="shared" si="9"/>
        <v>6.0322358448962898</v>
      </c>
      <c r="AG32" s="36">
        <f t="shared" ref="AG32" si="10">VLOOKUP(AG24&amp;"Female"&amp;"AllEth"&amp;19,agesextable,7,FALSE)</f>
        <v>5.8187112457885704</v>
      </c>
      <c r="AI32" s="36"/>
      <c r="AJ32" s="22"/>
      <c r="AK32" s="22"/>
    </row>
    <row r="33" spans="2:37" x14ac:dyDescent="0.2">
      <c r="B33" s="51"/>
      <c r="C33" s="51"/>
      <c r="D33" s="51"/>
      <c r="E33" s="51"/>
      <c r="F33" s="51"/>
      <c r="G33" s="51"/>
      <c r="H33" s="51"/>
      <c r="I33" s="51"/>
      <c r="J33" s="51"/>
      <c r="K33" s="51"/>
      <c r="L33" s="51"/>
      <c r="M33" s="51"/>
      <c r="N33" s="51"/>
      <c r="O33" s="51"/>
      <c r="P33" s="154"/>
      <c r="R33" s="12"/>
      <c r="T33" s="23"/>
      <c r="U33" s="23"/>
      <c r="V33" s="23"/>
      <c r="W33" s="23"/>
      <c r="X33" s="22"/>
      <c r="Y33" s="22"/>
      <c r="Z33" s="22"/>
      <c r="AA33" s="36"/>
      <c r="AB33" s="36"/>
      <c r="AC33" s="36"/>
      <c r="AD33" s="36"/>
      <c r="AE33" s="36"/>
      <c r="AF33" s="26"/>
      <c r="AI33" s="22"/>
      <c r="AJ33" s="22"/>
      <c r="AK33" s="22"/>
    </row>
    <row r="34" spans="2:37" x14ac:dyDescent="0.2">
      <c r="B34" s="51"/>
      <c r="C34" s="51"/>
      <c r="D34" s="51"/>
      <c r="E34" s="51"/>
      <c r="F34" s="51"/>
      <c r="G34" s="51"/>
      <c r="H34" s="51"/>
      <c r="I34" s="51"/>
      <c r="J34" s="51"/>
      <c r="K34" s="51"/>
      <c r="L34" s="51"/>
      <c r="M34" s="51"/>
      <c r="N34" s="51"/>
      <c r="O34" s="51"/>
      <c r="P34" s="154"/>
      <c r="R34" s="12"/>
      <c r="T34" s="127" t="s">
        <v>94</v>
      </c>
      <c r="U34" s="127"/>
      <c r="V34" s="150" t="s">
        <v>206</v>
      </c>
      <c r="W34" s="176"/>
      <c r="X34" s="164"/>
      <c r="Y34" s="164"/>
      <c r="Z34" s="164"/>
      <c r="AA34" s="84"/>
      <c r="AB34" s="84"/>
      <c r="AC34" s="84"/>
      <c r="AD34" s="84"/>
      <c r="AE34" s="84"/>
      <c r="AF34" s="26"/>
      <c r="AI34" s="22"/>
      <c r="AJ34" s="22"/>
      <c r="AK34" s="22"/>
    </row>
    <row r="35" spans="2:37" x14ac:dyDescent="0.2">
      <c r="B35" s="51"/>
      <c r="C35" s="51"/>
      <c r="D35" s="51"/>
      <c r="E35" s="51"/>
      <c r="F35" s="51"/>
      <c r="G35" s="51"/>
      <c r="H35" s="51"/>
      <c r="I35" s="51"/>
      <c r="J35" s="51"/>
      <c r="K35" s="51"/>
      <c r="L35" s="51"/>
      <c r="M35" s="51"/>
      <c r="N35" s="51"/>
      <c r="O35" s="51"/>
      <c r="P35" s="154"/>
      <c r="R35" s="12"/>
      <c r="T35" s="127"/>
      <c r="U35" s="127"/>
      <c r="V35" s="150" t="s">
        <v>71</v>
      </c>
      <c r="W35" s="150"/>
      <c r="X35" s="165"/>
      <c r="Y35" s="165"/>
      <c r="Z35" s="165"/>
      <c r="AA35" s="84"/>
      <c r="AB35" s="84"/>
      <c r="AC35" s="84"/>
      <c r="AD35" s="84"/>
      <c r="AE35" s="84"/>
      <c r="AF35" s="26"/>
      <c r="AI35" s="22"/>
      <c r="AJ35" s="22"/>
      <c r="AK35" s="22"/>
    </row>
    <row r="36" spans="2:37" ht="13.5" customHeight="1" x14ac:dyDescent="0.2">
      <c r="B36" s="51"/>
      <c r="C36" s="55"/>
      <c r="D36" s="54"/>
      <c r="E36" s="56"/>
      <c r="F36" s="56"/>
      <c r="G36" s="51"/>
      <c r="H36" s="51"/>
      <c r="I36" s="51"/>
      <c r="J36" s="51"/>
      <c r="K36" s="51"/>
      <c r="L36" s="51"/>
      <c r="M36" s="51"/>
      <c r="N36" s="51"/>
      <c r="O36" s="51"/>
      <c r="P36" s="154"/>
      <c r="R36" s="12"/>
      <c r="T36" s="223" t="s">
        <v>97</v>
      </c>
      <c r="U36" s="223"/>
      <c r="V36" s="150" t="s">
        <v>96</v>
      </c>
      <c r="W36" s="150"/>
      <c r="X36" s="165"/>
      <c r="Y36" s="165"/>
      <c r="Z36" s="165"/>
      <c r="AA36" s="22"/>
      <c r="AB36" s="22"/>
      <c r="AC36" s="22"/>
      <c r="AD36" s="22"/>
      <c r="AE36" s="22"/>
      <c r="AF36" s="22"/>
      <c r="AG36" s="270"/>
      <c r="AI36" s="22"/>
      <c r="AJ36" s="22"/>
      <c r="AK36" s="22"/>
    </row>
    <row r="37" spans="2:37" x14ac:dyDescent="0.2">
      <c r="B37" s="51"/>
      <c r="C37" s="59" t="s">
        <v>94</v>
      </c>
      <c r="D37" s="59" t="s">
        <v>286</v>
      </c>
      <c r="E37" s="54"/>
      <c r="F37" s="54"/>
      <c r="G37" s="51"/>
      <c r="H37" s="51"/>
      <c r="I37" s="51"/>
      <c r="J37" s="51"/>
      <c r="K37" s="51"/>
      <c r="L37" s="51"/>
      <c r="M37" s="51"/>
      <c r="N37" s="51"/>
      <c r="O37" s="51"/>
      <c r="P37" s="154"/>
      <c r="R37" s="12"/>
      <c r="T37" s="19"/>
      <c r="U37" s="19"/>
      <c r="V37" s="151"/>
      <c r="W37" s="151"/>
      <c r="X37" s="175"/>
      <c r="Y37" s="175"/>
      <c r="Z37" s="175"/>
      <c r="AA37" s="175"/>
      <c r="AB37" s="24"/>
      <c r="AC37" s="24"/>
      <c r="AD37" s="24"/>
      <c r="AE37" s="24"/>
      <c r="AF37" s="24"/>
      <c r="AG37" s="26"/>
      <c r="AI37" s="22"/>
      <c r="AJ37" s="22"/>
      <c r="AK37" s="22"/>
    </row>
    <row r="38" spans="2:37" x14ac:dyDescent="0.2">
      <c r="B38" s="51"/>
      <c r="C38" s="51"/>
      <c r="D38" s="59" t="s">
        <v>71</v>
      </c>
      <c r="E38" s="51"/>
      <c r="F38" s="54"/>
      <c r="G38" s="51"/>
      <c r="H38" s="51"/>
      <c r="I38" s="51"/>
      <c r="J38" s="51"/>
      <c r="K38" s="51"/>
      <c r="L38" s="51"/>
      <c r="M38" s="51"/>
      <c r="N38" s="51"/>
      <c r="O38" s="51"/>
      <c r="P38" s="154"/>
      <c r="R38" s="12"/>
      <c r="W38" s="23"/>
      <c r="X38" s="22"/>
      <c r="Y38" s="22"/>
      <c r="Z38" s="22"/>
      <c r="AA38" s="22"/>
      <c r="AB38" s="22"/>
      <c r="AC38" s="22"/>
      <c r="AD38" s="22"/>
      <c r="AE38" s="22"/>
      <c r="AF38" s="22"/>
      <c r="AG38" s="22"/>
      <c r="AH38" s="22"/>
      <c r="AI38" s="22"/>
      <c r="AJ38" s="22"/>
      <c r="AK38" s="22"/>
    </row>
    <row r="39" spans="2:37" x14ac:dyDescent="0.2">
      <c r="B39" s="51"/>
      <c r="C39" s="55" t="s">
        <v>97</v>
      </c>
      <c r="D39" s="59" t="s">
        <v>96</v>
      </c>
      <c r="E39" s="51"/>
      <c r="F39" s="54"/>
      <c r="G39" s="51"/>
      <c r="H39" s="51"/>
      <c r="I39" s="51"/>
      <c r="J39" s="51"/>
      <c r="K39" s="51"/>
      <c r="L39" s="51"/>
      <c r="M39" s="51"/>
      <c r="N39" s="51"/>
      <c r="O39" s="51"/>
      <c r="P39" s="154"/>
      <c r="R39" s="12"/>
      <c r="W39" s="23"/>
      <c r="X39" s="22"/>
      <c r="Y39" s="22"/>
      <c r="Z39" s="22"/>
      <c r="AA39" s="22"/>
      <c r="AB39" s="22"/>
      <c r="AC39" s="22"/>
      <c r="AD39" s="22"/>
      <c r="AE39" s="22"/>
      <c r="AF39" s="22"/>
      <c r="AG39" s="22"/>
      <c r="AH39" s="22"/>
      <c r="AI39" s="22"/>
      <c r="AJ39" s="22"/>
      <c r="AK39" s="22"/>
    </row>
    <row r="40" spans="2:37" x14ac:dyDescent="0.2">
      <c r="B40" s="51"/>
      <c r="C40" s="55"/>
      <c r="D40" s="59"/>
      <c r="E40" s="51"/>
      <c r="F40" s="54"/>
      <c r="G40" s="51"/>
      <c r="H40" s="51"/>
      <c r="I40" s="51"/>
      <c r="J40" s="51"/>
      <c r="K40" s="51"/>
      <c r="L40" s="51"/>
      <c r="M40" s="51"/>
      <c r="N40" s="51"/>
      <c r="O40" s="51"/>
      <c r="P40" s="154"/>
      <c r="R40" s="12"/>
    </row>
    <row r="41" spans="2:37" x14ac:dyDescent="0.2">
      <c r="C41" s="124"/>
      <c r="D41" s="166"/>
      <c r="E41" s="127"/>
      <c r="F41" s="124"/>
      <c r="G41" s="148"/>
      <c r="H41" s="124"/>
      <c r="I41" s="124"/>
      <c r="J41" s="124"/>
      <c r="K41" s="124"/>
      <c r="L41" s="124"/>
      <c r="M41" s="124"/>
      <c r="N41" s="124"/>
      <c r="O41" s="124"/>
      <c r="P41" s="124"/>
      <c r="Q41" s="228"/>
      <c r="R41" s="12"/>
    </row>
    <row r="42" spans="2:37" ht="14.25" customHeight="1" x14ac:dyDescent="0.2">
      <c r="C42" s="124"/>
      <c r="D42" s="124"/>
      <c r="E42" s="124"/>
      <c r="F42" s="124"/>
      <c r="G42" s="124"/>
      <c r="H42" s="124"/>
      <c r="I42" s="124"/>
      <c r="J42" s="124"/>
      <c r="K42" s="124"/>
      <c r="L42" s="155"/>
      <c r="M42" s="124"/>
      <c r="N42" s="124"/>
      <c r="O42" s="124"/>
      <c r="P42" s="124"/>
      <c r="R42" s="12"/>
    </row>
    <row r="43" spans="2:37" x14ac:dyDescent="0.2">
      <c r="C43" s="124"/>
      <c r="D43" s="156"/>
      <c r="E43" s="156"/>
      <c r="F43" s="156"/>
      <c r="G43" s="156"/>
      <c r="H43" s="156"/>
      <c r="I43" s="156"/>
      <c r="J43" s="156"/>
      <c r="K43" s="156"/>
      <c r="L43" s="157"/>
      <c r="M43" s="156"/>
      <c r="N43" s="156"/>
      <c r="O43" s="156"/>
      <c r="P43" s="156"/>
      <c r="R43" s="12"/>
    </row>
    <row r="44" spans="2:37" x14ac:dyDescent="0.2">
      <c r="C44" s="156"/>
      <c r="D44" s="124"/>
      <c r="E44" s="124"/>
      <c r="F44" s="124"/>
      <c r="G44" s="124"/>
      <c r="H44" s="124"/>
      <c r="I44" s="124"/>
      <c r="J44" s="124"/>
      <c r="K44" s="124"/>
      <c r="L44" s="155"/>
      <c r="M44" s="124"/>
      <c r="N44" s="124"/>
      <c r="O44" s="124"/>
      <c r="P44" s="124"/>
      <c r="R44" s="12"/>
    </row>
    <row r="45" spans="2:37" x14ac:dyDescent="0.2">
      <c r="C45" s="124"/>
      <c r="D45" s="124"/>
      <c r="E45" s="124"/>
      <c r="F45" s="124"/>
      <c r="G45" s="124"/>
      <c r="H45" s="124"/>
      <c r="I45" s="124"/>
      <c r="J45" s="124"/>
      <c r="K45" s="124"/>
      <c r="L45" s="155"/>
      <c r="M45" s="124"/>
      <c r="N45" s="124"/>
      <c r="O45" s="124"/>
      <c r="P45" s="124"/>
      <c r="R45" s="12"/>
    </row>
    <row r="46" spans="2:37" ht="15" customHeight="1" x14ac:dyDescent="0.2">
      <c r="C46" s="124"/>
      <c r="D46" s="124"/>
      <c r="E46" s="124"/>
      <c r="F46" s="124"/>
      <c r="G46" s="124"/>
      <c r="H46" s="124"/>
      <c r="I46" s="124"/>
      <c r="J46" s="124"/>
      <c r="K46" s="124"/>
      <c r="L46" s="155"/>
      <c r="M46" s="124"/>
      <c r="N46" s="124"/>
      <c r="O46" s="124"/>
      <c r="P46" s="124"/>
      <c r="R46" s="12"/>
      <c r="V46" s="12"/>
      <c r="W46" s="12"/>
    </row>
    <row r="47" spans="2:37" ht="15" customHeight="1" x14ac:dyDescent="0.2">
      <c r="C47" s="124"/>
      <c r="D47" s="124"/>
      <c r="E47" s="124"/>
      <c r="F47" s="124"/>
      <c r="G47" s="124"/>
      <c r="H47" s="124"/>
      <c r="I47" s="124"/>
      <c r="J47" s="124"/>
      <c r="K47" s="124"/>
      <c r="L47" s="155"/>
      <c r="M47" s="124"/>
      <c r="N47" s="124"/>
      <c r="O47" s="124"/>
      <c r="P47" s="124"/>
      <c r="R47" s="12"/>
      <c r="V47" s="12"/>
      <c r="W47" s="12"/>
    </row>
    <row r="48" spans="2:37" x14ac:dyDescent="0.2">
      <c r="C48" s="124"/>
      <c r="D48" s="124"/>
      <c r="E48" s="124"/>
      <c r="F48" s="124"/>
      <c r="G48" s="124"/>
      <c r="H48" s="124"/>
      <c r="I48" s="124"/>
      <c r="J48" s="124"/>
      <c r="K48" s="124"/>
      <c r="L48" s="155"/>
      <c r="M48" s="124"/>
      <c r="N48" s="124"/>
      <c r="O48" s="124"/>
      <c r="P48" s="124"/>
      <c r="R48" s="12"/>
      <c r="V48" s="12"/>
      <c r="W48" s="12"/>
    </row>
    <row r="49" spans="3:33" x14ac:dyDescent="0.2">
      <c r="C49" s="124"/>
      <c r="D49" s="124"/>
      <c r="E49" s="124"/>
      <c r="F49" s="124"/>
      <c r="G49" s="124"/>
      <c r="H49" s="124"/>
      <c r="I49" s="124"/>
      <c r="J49" s="124"/>
      <c r="K49" s="124"/>
      <c r="L49" s="155"/>
      <c r="M49" s="124"/>
      <c r="N49" s="124"/>
      <c r="O49" s="124"/>
      <c r="P49" s="124"/>
      <c r="R49" s="12"/>
      <c r="V49" s="12"/>
      <c r="W49" s="12"/>
    </row>
    <row r="50" spans="3:33" x14ac:dyDescent="0.2">
      <c r="C50" s="124"/>
      <c r="D50" s="124"/>
      <c r="E50" s="124"/>
      <c r="F50" s="124"/>
      <c r="G50" s="124"/>
      <c r="H50" s="124"/>
      <c r="I50" s="124"/>
      <c r="J50" s="124"/>
      <c r="K50" s="124"/>
      <c r="L50" s="155"/>
      <c r="M50" s="124"/>
      <c r="N50" s="124"/>
      <c r="O50" s="124"/>
      <c r="P50" s="124"/>
      <c r="R50" s="12"/>
      <c r="V50" s="12"/>
      <c r="W50" s="12"/>
    </row>
    <row r="51" spans="3:33" x14ac:dyDescent="0.2">
      <c r="C51" s="124"/>
      <c r="D51" s="124"/>
      <c r="E51" s="124"/>
      <c r="F51" s="124"/>
      <c r="G51" s="124"/>
      <c r="H51" s="124"/>
      <c r="I51" s="124"/>
      <c r="J51" s="124"/>
      <c r="K51" s="124"/>
      <c r="L51" s="155"/>
      <c r="M51" s="124"/>
      <c r="N51" s="124"/>
      <c r="O51" s="124"/>
      <c r="P51" s="124"/>
      <c r="R51" s="12"/>
      <c r="V51" s="12"/>
      <c r="W51" s="12"/>
    </row>
    <row r="52" spans="3:33" x14ac:dyDescent="0.2">
      <c r="C52" s="124"/>
      <c r="D52" s="124"/>
      <c r="E52" s="124"/>
      <c r="F52" s="124"/>
      <c r="G52" s="124"/>
      <c r="H52" s="124"/>
      <c r="I52" s="124"/>
      <c r="J52" s="124"/>
      <c r="K52" s="124"/>
      <c r="L52" s="155"/>
      <c r="M52" s="124"/>
      <c r="N52" s="124"/>
      <c r="O52" s="124"/>
      <c r="P52" s="124"/>
      <c r="R52" s="12"/>
      <c r="V52" s="12"/>
      <c r="W52" s="12"/>
    </row>
    <row r="53" spans="3:33" x14ac:dyDescent="0.2">
      <c r="C53" s="124"/>
      <c r="D53" s="124"/>
      <c r="E53" s="124"/>
      <c r="F53" s="124"/>
      <c r="G53" s="124"/>
      <c r="H53" s="124"/>
      <c r="I53" s="124"/>
      <c r="J53" s="124"/>
      <c r="K53" s="124"/>
      <c r="L53" s="155"/>
      <c r="M53" s="124"/>
      <c r="N53" s="124"/>
      <c r="O53" s="124"/>
      <c r="P53" s="124"/>
      <c r="R53" s="12"/>
      <c r="V53" s="12"/>
      <c r="W53" s="12"/>
    </row>
    <row r="54" spans="3:33" x14ac:dyDescent="0.2">
      <c r="C54" s="124"/>
      <c r="D54" s="124"/>
      <c r="E54" s="124"/>
      <c r="F54" s="124"/>
      <c r="G54" s="124"/>
      <c r="H54" s="124"/>
      <c r="I54" s="124"/>
      <c r="J54" s="124"/>
      <c r="K54" s="124"/>
      <c r="L54" s="155"/>
      <c r="M54" s="124"/>
      <c r="N54" s="124"/>
      <c r="O54" s="124"/>
      <c r="P54" s="124"/>
      <c r="R54" s="12"/>
      <c r="V54" s="12"/>
      <c r="W54" s="12"/>
    </row>
    <row r="55" spans="3:33" x14ac:dyDescent="0.2">
      <c r="C55" s="124"/>
      <c r="D55" s="124"/>
      <c r="E55" s="124"/>
      <c r="F55" s="124"/>
      <c r="G55" s="124"/>
      <c r="H55" s="124"/>
      <c r="I55" s="124"/>
      <c r="J55" s="124"/>
      <c r="K55" s="124"/>
      <c r="L55" s="155"/>
      <c r="M55" s="124"/>
      <c r="N55" s="124"/>
      <c r="O55" s="124"/>
      <c r="P55" s="124"/>
      <c r="R55" s="12"/>
      <c r="V55" s="12"/>
      <c r="W55" s="12"/>
    </row>
    <row r="56" spans="3:33" x14ac:dyDescent="0.2">
      <c r="C56" s="124"/>
      <c r="D56" s="124"/>
      <c r="E56" s="124"/>
      <c r="F56" s="124"/>
      <c r="G56" s="124"/>
      <c r="H56" s="124"/>
      <c r="I56" s="124"/>
      <c r="J56" s="124"/>
      <c r="K56" s="124"/>
      <c r="L56" s="155"/>
      <c r="M56" s="124"/>
      <c r="N56" s="124"/>
      <c r="O56" s="124"/>
      <c r="P56" s="124"/>
      <c r="R56" s="12"/>
      <c r="V56" s="12"/>
      <c r="W56" s="12"/>
    </row>
    <row r="57" spans="3:33" x14ac:dyDescent="0.2">
      <c r="C57" s="124"/>
      <c r="D57" s="124"/>
      <c r="E57" s="124"/>
      <c r="F57" s="124"/>
      <c r="G57" s="124"/>
      <c r="H57" s="124"/>
      <c r="I57" s="124"/>
      <c r="J57" s="124"/>
      <c r="K57" s="124"/>
      <c r="L57" s="155"/>
      <c r="M57" s="124"/>
      <c r="N57" s="124"/>
      <c r="O57" s="124"/>
      <c r="P57" s="124"/>
      <c r="R57" s="12"/>
      <c r="V57" s="12"/>
      <c r="W57" s="12"/>
    </row>
    <row r="58" spans="3:33" x14ac:dyDescent="0.2">
      <c r="C58" s="124"/>
      <c r="D58" s="124"/>
      <c r="E58" s="124"/>
      <c r="F58" s="124"/>
      <c r="G58" s="124"/>
      <c r="H58" s="124"/>
      <c r="I58" s="124"/>
      <c r="J58" s="124"/>
      <c r="K58" s="124"/>
      <c r="L58" s="155"/>
      <c r="M58" s="124"/>
      <c r="N58" s="124"/>
      <c r="O58" s="124"/>
      <c r="P58" s="124"/>
      <c r="R58" s="12"/>
      <c r="V58" s="12"/>
      <c r="W58" s="12"/>
    </row>
    <row r="59" spans="3:33" x14ac:dyDescent="0.2">
      <c r="C59" s="127"/>
      <c r="D59" s="127"/>
      <c r="E59" s="127"/>
      <c r="F59" s="127"/>
      <c r="G59" s="127"/>
      <c r="H59" s="127"/>
      <c r="I59" s="127"/>
      <c r="J59" s="127"/>
      <c r="K59" s="127"/>
      <c r="L59" s="158"/>
      <c r="M59" s="127"/>
      <c r="N59" s="127"/>
      <c r="O59" s="127"/>
      <c r="P59" s="127"/>
      <c r="Q59" s="230"/>
      <c r="R59" s="12"/>
      <c r="V59" s="12"/>
      <c r="W59" s="12"/>
    </row>
    <row r="60" spans="3:33" x14ac:dyDescent="0.2">
      <c r="C60" s="127"/>
      <c r="D60" s="127"/>
      <c r="E60" s="127"/>
      <c r="F60" s="127"/>
      <c r="G60" s="127"/>
      <c r="H60" s="127"/>
      <c r="I60" s="127"/>
      <c r="J60" s="127"/>
      <c r="K60" s="127"/>
      <c r="L60" s="158"/>
      <c r="M60" s="127"/>
      <c r="N60" s="127"/>
      <c r="O60" s="127"/>
      <c r="P60" s="127"/>
      <c r="Q60" s="230"/>
      <c r="R60" s="12"/>
      <c r="V60" s="12"/>
      <c r="W60" s="12"/>
    </row>
    <row r="61" spans="3:33" x14ac:dyDescent="0.2">
      <c r="C61" s="127"/>
      <c r="D61" s="127"/>
      <c r="E61" s="127"/>
      <c r="F61" s="127"/>
      <c r="G61" s="127"/>
      <c r="H61" s="127"/>
      <c r="I61" s="127"/>
      <c r="J61" s="127"/>
      <c r="K61" s="127"/>
      <c r="L61" s="158"/>
      <c r="M61" s="127"/>
      <c r="N61" s="127"/>
      <c r="O61" s="127"/>
      <c r="P61" s="127"/>
      <c r="Q61" s="230"/>
      <c r="R61" s="12"/>
      <c r="V61" s="12"/>
      <c r="W61" s="12"/>
    </row>
    <row r="62" spans="3:33" x14ac:dyDescent="0.2">
      <c r="C62" s="127"/>
      <c r="D62" s="127"/>
      <c r="E62" s="127"/>
      <c r="F62" s="127"/>
      <c r="G62" s="127"/>
      <c r="H62" s="127"/>
      <c r="I62" s="127"/>
      <c r="J62" s="127"/>
      <c r="K62" s="127"/>
      <c r="L62" s="158"/>
      <c r="M62" s="127"/>
      <c r="N62" s="127"/>
      <c r="O62" s="127"/>
      <c r="P62" s="127"/>
      <c r="Q62" s="230"/>
      <c r="R62" s="12"/>
      <c r="V62" s="12"/>
      <c r="W62" s="12"/>
    </row>
    <row r="63" spans="3:33" x14ac:dyDescent="0.2">
      <c r="C63" s="127"/>
      <c r="D63" s="127"/>
      <c r="E63" s="127"/>
      <c r="F63" s="127"/>
      <c r="G63" s="127"/>
      <c r="H63" s="127"/>
      <c r="I63" s="127"/>
      <c r="J63" s="127"/>
      <c r="K63" s="127"/>
      <c r="L63" s="158"/>
      <c r="M63" s="127"/>
      <c r="N63" s="127"/>
      <c r="O63" s="127"/>
      <c r="P63" s="127"/>
      <c r="Q63" s="230"/>
      <c r="R63" s="12"/>
      <c r="V63" s="12"/>
      <c r="W63" s="12"/>
      <c r="X63" s="29"/>
      <c r="Y63" s="29"/>
      <c r="Z63" s="29"/>
      <c r="AA63" s="159"/>
      <c r="AB63" s="29"/>
      <c r="AC63" s="159"/>
      <c r="AD63" s="29"/>
      <c r="AE63" s="29"/>
      <c r="AF63" s="29"/>
      <c r="AG63" s="29"/>
    </row>
    <row r="64" spans="3:33" x14ac:dyDescent="0.2">
      <c r="C64" s="127"/>
      <c r="D64" s="127"/>
      <c r="E64" s="127"/>
      <c r="F64" s="127"/>
      <c r="G64" s="127"/>
      <c r="H64" s="127"/>
      <c r="I64" s="127"/>
      <c r="J64" s="127"/>
      <c r="K64" s="127"/>
      <c r="L64" s="158"/>
      <c r="M64" s="127"/>
      <c r="N64" s="127"/>
      <c r="O64" s="127"/>
      <c r="P64" s="127"/>
      <c r="Q64" s="230"/>
      <c r="R64" s="12"/>
      <c r="V64" s="12"/>
      <c r="W64" s="12"/>
      <c r="X64" s="94"/>
      <c r="Y64" s="94"/>
      <c r="Z64" s="29"/>
      <c r="AA64" s="29"/>
      <c r="AB64" s="29"/>
      <c r="AC64" s="29"/>
      <c r="AD64" s="29"/>
      <c r="AE64" s="29"/>
      <c r="AF64" s="29"/>
      <c r="AG64" s="29"/>
    </row>
    <row r="65" spans="8:33" x14ac:dyDescent="0.2">
      <c r="R65" s="12"/>
      <c r="V65" s="12"/>
      <c r="W65" s="12"/>
      <c r="X65" s="87"/>
      <c r="Y65" s="87"/>
      <c r="Z65" s="29"/>
      <c r="AA65" s="29"/>
      <c r="AB65" s="29"/>
      <c r="AC65" s="28"/>
      <c r="AD65" s="29"/>
      <c r="AE65" s="29"/>
      <c r="AF65" s="29"/>
      <c r="AG65" s="29"/>
    </row>
    <row r="66" spans="8:33" ht="14.25" customHeight="1" x14ac:dyDescent="0.2">
      <c r="R66" s="12"/>
      <c r="V66" s="12"/>
      <c r="X66" s="87"/>
      <c r="Y66" s="87"/>
      <c r="Z66" s="29"/>
      <c r="AA66" s="29"/>
      <c r="AB66" s="29"/>
      <c r="AC66" s="28"/>
      <c r="AD66" s="29"/>
      <c r="AE66" s="29"/>
      <c r="AF66" s="29"/>
      <c r="AG66" s="29"/>
    </row>
    <row r="67" spans="8:33" x14ac:dyDescent="0.2">
      <c r="P67" s="39"/>
      <c r="Q67" s="230"/>
      <c r="W67" s="140"/>
      <c r="X67" s="87"/>
      <c r="Y67" s="160"/>
      <c r="Z67" s="29"/>
      <c r="AA67" s="29"/>
      <c r="AB67" s="29"/>
      <c r="AC67" s="28"/>
      <c r="AD67" s="29"/>
      <c r="AE67" s="29"/>
      <c r="AF67" s="29"/>
      <c r="AG67" s="29"/>
    </row>
    <row r="68" spans="8:33" x14ac:dyDescent="0.2">
      <c r="H68" s="124"/>
      <c r="I68" s="124"/>
      <c r="J68" s="124"/>
      <c r="K68" s="124"/>
      <c r="L68" s="124"/>
      <c r="M68" s="124"/>
      <c r="N68" s="124"/>
      <c r="O68" s="124"/>
      <c r="P68" s="124"/>
      <c r="T68" s="124"/>
      <c r="U68" s="124"/>
      <c r="V68" s="140"/>
      <c r="W68" s="140"/>
      <c r="X68" s="87"/>
      <c r="Y68" s="160"/>
      <c r="Z68" s="29"/>
      <c r="AA68" s="29"/>
      <c r="AB68" s="29"/>
      <c r="AC68" s="28"/>
      <c r="AD68" s="29"/>
      <c r="AE68" s="29"/>
      <c r="AF68" s="29"/>
      <c r="AG68" s="29"/>
    </row>
    <row r="69" spans="8:33" x14ac:dyDescent="0.2">
      <c r="H69" s="124"/>
      <c r="I69" s="124"/>
      <c r="J69" s="124"/>
      <c r="K69" s="124"/>
      <c r="L69" s="124"/>
      <c r="M69" s="124"/>
      <c r="N69" s="124"/>
      <c r="O69" s="124"/>
      <c r="P69" s="124"/>
      <c r="T69" s="124"/>
      <c r="U69" s="124"/>
      <c r="V69" s="140"/>
      <c r="W69" s="124"/>
      <c r="X69" s="87"/>
      <c r="Y69" s="87"/>
      <c r="Z69" s="29"/>
      <c r="AA69" s="29"/>
      <c r="AB69" s="29"/>
      <c r="AC69" s="28"/>
      <c r="AD69" s="29"/>
      <c r="AE69" s="29"/>
      <c r="AF69" s="29"/>
      <c r="AG69" s="29"/>
    </row>
    <row r="70" spans="8:33" x14ac:dyDescent="0.2">
      <c r="H70" s="124"/>
      <c r="I70" s="124"/>
      <c r="J70" s="124"/>
      <c r="K70" s="124"/>
      <c r="L70" s="124"/>
      <c r="M70" s="124"/>
      <c r="N70" s="124"/>
      <c r="O70" s="124"/>
      <c r="P70" s="124"/>
      <c r="R70" s="155"/>
      <c r="S70" s="124"/>
      <c r="T70" s="124"/>
      <c r="U70" s="124"/>
      <c r="V70" s="124"/>
      <c r="W70" s="124"/>
      <c r="X70" s="29"/>
      <c r="Y70" s="29"/>
      <c r="Z70" s="29"/>
      <c r="AA70" s="29"/>
      <c r="AB70" s="29"/>
      <c r="AC70" s="28"/>
      <c r="AD70" s="29"/>
      <c r="AE70" s="29"/>
      <c r="AF70" s="29"/>
      <c r="AG70" s="29"/>
    </row>
    <row r="71" spans="8:33" x14ac:dyDescent="0.2">
      <c r="H71" s="124"/>
      <c r="I71" s="124"/>
      <c r="J71" s="125"/>
      <c r="K71" s="124"/>
      <c r="L71" s="124"/>
      <c r="M71" s="124"/>
      <c r="N71" s="124"/>
      <c r="O71" s="124"/>
      <c r="P71" s="124"/>
      <c r="R71" s="155"/>
      <c r="S71" s="124"/>
      <c r="T71" s="124"/>
      <c r="U71" s="124"/>
      <c r="V71" s="124"/>
      <c r="W71" s="124"/>
      <c r="X71" s="94"/>
      <c r="Y71" s="87"/>
      <c r="Z71" s="29"/>
      <c r="AA71" s="29"/>
      <c r="AB71" s="29"/>
      <c r="AC71" s="28"/>
      <c r="AD71" s="29"/>
      <c r="AE71" s="29"/>
      <c r="AF71" s="29"/>
      <c r="AG71" s="29"/>
    </row>
    <row r="72" spans="8:33" x14ac:dyDescent="0.2">
      <c r="H72" s="124"/>
      <c r="I72" s="124"/>
      <c r="J72" s="124"/>
      <c r="K72" s="124"/>
      <c r="L72" s="124"/>
      <c r="M72" s="124"/>
      <c r="N72" s="124"/>
      <c r="O72" s="124"/>
      <c r="P72" s="124"/>
      <c r="R72" s="155"/>
      <c r="S72" s="124"/>
      <c r="T72" s="124"/>
      <c r="U72" s="124"/>
      <c r="V72" s="124"/>
      <c r="W72" s="124"/>
      <c r="X72" s="87"/>
      <c r="Y72" s="87"/>
      <c r="Z72" s="29"/>
      <c r="AA72" s="29"/>
      <c r="AB72" s="29"/>
      <c r="AC72" s="161"/>
      <c r="AD72" s="29"/>
      <c r="AE72" s="29"/>
      <c r="AF72" s="29"/>
      <c r="AG72" s="29"/>
    </row>
    <row r="73" spans="8:33" x14ac:dyDescent="0.2">
      <c r="H73" s="124"/>
      <c r="I73" s="124"/>
      <c r="J73" s="124"/>
      <c r="K73" s="124"/>
      <c r="L73" s="124"/>
      <c r="M73" s="124"/>
      <c r="N73" s="124"/>
      <c r="O73" s="124"/>
      <c r="P73" s="124"/>
      <c r="R73" s="155"/>
      <c r="S73" s="124"/>
      <c r="T73" s="124"/>
      <c r="U73" s="124"/>
      <c r="V73" s="124"/>
      <c r="W73" s="124"/>
      <c r="X73" s="87"/>
      <c r="Y73" s="87"/>
      <c r="Z73" s="29"/>
      <c r="AA73" s="29"/>
      <c r="AB73" s="29"/>
      <c r="AC73" s="28"/>
      <c r="AD73" s="29"/>
      <c r="AE73" s="29"/>
      <c r="AF73" s="29"/>
      <c r="AG73" s="29"/>
    </row>
    <row r="74" spans="8:33" x14ac:dyDescent="0.2">
      <c r="H74" s="124"/>
      <c r="I74" s="124"/>
      <c r="J74" s="124"/>
      <c r="K74" s="124"/>
      <c r="L74" s="124"/>
      <c r="M74" s="124"/>
      <c r="N74" s="124"/>
      <c r="O74" s="124"/>
      <c r="P74" s="124"/>
      <c r="R74" s="155"/>
      <c r="S74" s="124"/>
      <c r="T74" s="124"/>
      <c r="U74" s="124"/>
      <c r="V74" s="124"/>
      <c r="W74" s="127"/>
      <c r="X74" s="87"/>
      <c r="Y74" s="160"/>
      <c r="Z74" s="29"/>
      <c r="AA74" s="29"/>
      <c r="AB74" s="29"/>
      <c r="AC74" s="161"/>
      <c r="AD74" s="29"/>
      <c r="AE74" s="29"/>
      <c r="AF74" s="29"/>
      <c r="AG74" s="29"/>
    </row>
    <row r="75" spans="8:33" x14ac:dyDescent="0.2">
      <c r="H75" s="124"/>
      <c r="I75" s="124"/>
      <c r="J75" s="124"/>
      <c r="K75" s="124"/>
      <c r="L75" s="124"/>
      <c r="M75" s="124"/>
      <c r="N75" s="124"/>
      <c r="O75" s="124"/>
      <c r="P75" s="124"/>
      <c r="R75" s="155"/>
      <c r="S75" s="124"/>
      <c r="T75" s="124"/>
      <c r="U75" s="124"/>
      <c r="V75" s="124"/>
      <c r="W75" s="127"/>
      <c r="X75" s="87"/>
      <c r="Y75" s="160"/>
      <c r="Z75" s="29"/>
      <c r="AA75" s="29"/>
      <c r="AB75" s="29"/>
      <c r="AC75" s="28"/>
      <c r="AD75" s="29"/>
      <c r="AE75" s="29"/>
      <c r="AF75" s="29"/>
      <c r="AG75" s="29"/>
    </row>
    <row r="76" spans="8:33" x14ac:dyDescent="0.2">
      <c r="H76" s="124"/>
      <c r="I76" s="124"/>
      <c r="J76" s="124"/>
      <c r="K76" s="124"/>
      <c r="L76" s="124"/>
      <c r="M76" s="124"/>
      <c r="N76" s="124"/>
      <c r="O76" s="124"/>
      <c r="P76" s="124"/>
      <c r="R76" s="155"/>
      <c r="S76" s="124"/>
      <c r="T76" s="124"/>
      <c r="U76" s="124"/>
      <c r="V76" s="124"/>
      <c r="W76" s="124"/>
      <c r="X76" s="29"/>
      <c r="Y76" s="29"/>
      <c r="Z76" s="29"/>
      <c r="AA76" s="29"/>
      <c r="AB76" s="29"/>
      <c r="AC76" s="161"/>
      <c r="AD76" s="29"/>
      <c r="AE76" s="29"/>
      <c r="AF76" s="29"/>
      <c r="AG76" s="29"/>
    </row>
    <row r="77" spans="8:33" x14ac:dyDescent="0.2">
      <c r="H77" s="124"/>
      <c r="I77" s="124"/>
      <c r="J77" s="124"/>
      <c r="K77" s="124"/>
      <c r="L77" s="124"/>
      <c r="M77" s="124"/>
      <c r="N77" s="124"/>
      <c r="O77" s="124"/>
      <c r="P77" s="124"/>
      <c r="R77" s="155"/>
      <c r="S77" s="124"/>
      <c r="T77" s="124"/>
      <c r="U77" s="124"/>
      <c r="V77" s="124"/>
      <c r="W77" s="124"/>
      <c r="X77" s="29"/>
      <c r="Y77" s="29"/>
      <c r="Z77" s="29"/>
      <c r="AA77" s="29"/>
      <c r="AB77" s="29"/>
      <c r="AC77" s="28"/>
      <c r="AD77" s="29"/>
      <c r="AE77" s="29"/>
      <c r="AF77" s="29"/>
      <c r="AG77" s="29"/>
    </row>
    <row r="78" spans="8:33" ht="12.75" customHeight="1" x14ac:dyDescent="0.2">
      <c r="H78" s="124"/>
      <c r="I78" s="124"/>
      <c r="J78" s="124"/>
      <c r="K78" s="124"/>
      <c r="L78" s="124"/>
      <c r="M78" s="124"/>
      <c r="N78" s="124"/>
      <c r="O78" s="124"/>
      <c r="P78" s="124"/>
      <c r="R78" s="155"/>
      <c r="S78" s="124"/>
      <c r="T78" s="124"/>
      <c r="U78" s="124"/>
      <c r="V78" s="124"/>
      <c r="W78" s="124"/>
      <c r="X78" s="29"/>
      <c r="Y78" s="29"/>
      <c r="Z78" s="29"/>
      <c r="AA78" s="29"/>
      <c r="AB78" s="29"/>
      <c r="AC78" s="28"/>
      <c r="AD78" s="29"/>
      <c r="AE78" s="29"/>
      <c r="AF78" s="29"/>
      <c r="AG78" s="29"/>
    </row>
    <row r="79" spans="8:33" x14ac:dyDescent="0.2">
      <c r="H79" s="124"/>
      <c r="I79" s="124"/>
      <c r="J79" s="124"/>
      <c r="K79" s="124"/>
      <c r="L79" s="124"/>
      <c r="M79" s="124"/>
      <c r="N79" s="124"/>
      <c r="O79" s="124"/>
      <c r="P79" s="124"/>
      <c r="R79" s="155"/>
      <c r="S79" s="124"/>
      <c r="T79" s="124"/>
      <c r="U79" s="124"/>
      <c r="V79" s="124"/>
      <c r="W79" s="124"/>
      <c r="X79" s="29"/>
      <c r="Y79" s="29"/>
      <c r="Z79" s="29"/>
      <c r="AA79" s="29"/>
      <c r="AB79" s="29"/>
      <c r="AC79" s="161"/>
      <c r="AD79" s="29"/>
      <c r="AE79" s="29"/>
      <c r="AF79" s="29"/>
      <c r="AG79" s="29"/>
    </row>
    <row r="80" spans="8:33" x14ac:dyDescent="0.2">
      <c r="H80" s="124"/>
      <c r="I80" s="124"/>
      <c r="J80" s="124"/>
      <c r="K80" s="124"/>
      <c r="L80" s="124"/>
      <c r="M80" s="124"/>
      <c r="N80" s="124"/>
      <c r="O80" s="124"/>
      <c r="P80" s="124"/>
      <c r="R80" s="155"/>
      <c r="S80" s="124"/>
      <c r="T80" s="124"/>
      <c r="U80" s="124"/>
      <c r="V80" s="124"/>
      <c r="W80" s="124"/>
      <c r="X80" s="29"/>
      <c r="Y80" s="29"/>
      <c r="Z80" s="29"/>
      <c r="AA80" s="29"/>
      <c r="AB80" s="29"/>
      <c r="AC80" s="161"/>
      <c r="AD80" s="29"/>
      <c r="AE80" s="29"/>
      <c r="AF80" s="29"/>
      <c r="AG80" s="29"/>
    </row>
    <row r="81" spans="3:33" x14ac:dyDescent="0.2">
      <c r="H81" s="124"/>
      <c r="I81" s="124"/>
      <c r="J81" s="124"/>
      <c r="K81" s="124"/>
      <c r="L81" s="124"/>
      <c r="M81" s="124"/>
      <c r="N81" s="124"/>
      <c r="O81" s="124"/>
      <c r="P81" s="124"/>
      <c r="R81" s="155"/>
      <c r="S81" s="124"/>
      <c r="T81" s="124"/>
      <c r="U81" s="124"/>
      <c r="V81" s="124"/>
      <c r="W81" s="124"/>
      <c r="X81" s="29"/>
      <c r="Y81" s="29"/>
      <c r="Z81" s="29"/>
      <c r="AA81" s="29"/>
      <c r="AB81" s="29"/>
      <c r="AC81" s="161"/>
      <c r="AD81" s="29"/>
      <c r="AE81" s="29"/>
      <c r="AF81" s="29"/>
      <c r="AG81" s="29"/>
    </row>
    <row r="82" spans="3:33" x14ac:dyDescent="0.2">
      <c r="H82" s="124"/>
      <c r="I82" s="124"/>
      <c r="J82" s="124"/>
      <c r="K82" s="124"/>
      <c r="L82" s="124"/>
      <c r="M82" s="124"/>
      <c r="N82" s="124"/>
      <c r="O82" s="124"/>
      <c r="P82" s="124"/>
      <c r="R82" s="155"/>
      <c r="S82" s="124"/>
      <c r="T82" s="124"/>
      <c r="U82" s="124"/>
      <c r="V82" s="124"/>
      <c r="W82" s="124"/>
      <c r="X82" s="29"/>
      <c r="Y82" s="29"/>
      <c r="Z82" s="29"/>
      <c r="AA82" s="29"/>
      <c r="AB82" s="29"/>
      <c r="AC82" s="28"/>
      <c r="AD82" s="29"/>
      <c r="AE82" s="29"/>
      <c r="AF82" s="29"/>
      <c r="AG82" s="29"/>
    </row>
    <row r="83" spans="3:33" x14ac:dyDescent="0.2">
      <c r="H83" s="124"/>
      <c r="I83" s="124"/>
      <c r="J83" s="124"/>
      <c r="K83" s="124"/>
      <c r="L83" s="124"/>
      <c r="M83" s="124"/>
      <c r="N83" s="124"/>
      <c r="O83" s="124"/>
      <c r="P83" s="124"/>
      <c r="R83" s="155"/>
      <c r="S83" s="124"/>
      <c r="T83" s="124"/>
      <c r="U83" s="124"/>
      <c r="V83" s="124"/>
      <c r="W83" s="124"/>
      <c r="X83" s="29"/>
      <c r="Y83" s="29"/>
      <c r="Z83" s="29"/>
      <c r="AA83" s="29"/>
      <c r="AB83" s="29"/>
      <c r="AC83" s="161"/>
      <c r="AD83" s="29"/>
      <c r="AE83" s="29"/>
      <c r="AF83" s="29"/>
      <c r="AG83" s="29"/>
    </row>
    <row r="84" spans="3:33" x14ac:dyDescent="0.2">
      <c r="H84" s="124"/>
      <c r="I84" s="124"/>
      <c r="J84" s="124"/>
      <c r="K84" s="124"/>
      <c r="L84" s="124"/>
      <c r="M84" s="124"/>
      <c r="N84" s="124"/>
      <c r="O84" s="124"/>
      <c r="P84" s="124"/>
      <c r="R84" s="155"/>
      <c r="S84" s="124"/>
      <c r="T84" s="124"/>
      <c r="U84" s="124"/>
      <c r="V84" s="127"/>
      <c r="W84" s="124"/>
      <c r="X84" s="29"/>
      <c r="Y84" s="29"/>
      <c r="Z84" s="29"/>
      <c r="AA84" s="29"/>
      <c r="AB84" s="29"/>
      <c r="AC84" s="28"/>
      <c r="AD84" s="29"/>
      <c r="AE84" s="29"/>
      <c r="AF84" s="29"/>
      <c r="AG84" s="29"/>
    </row>
    <row r="85" spans="3:33" x14ac:dyDescent="0.2">
      <c r="H85" s="124"/>
      <c r="I85" s="124"/>
      <c r="J85" s="124"/>
      <c r="K85" s="124"/>
      <c r="L85" s="124"/>
      <c r="M85" s="124"/>
      <c r="N85" s="124"/>
      <c r="O85" s="124"/>
      <c r="P85" s="124"/>
      <c r="R85" s="155"/>
      <c r="S85" s="124"/>
      <c r="T85" s="124"/>
      <c r="U85" s="124"/>
      <c r="V85" s="127"/>
      <c r="W85" s="124"/>
      <c r="X85" s="29"/>
      <c r="Y85" s="29"/>
      <c r="Z85" s="29"/>
      <c r="AA85" s="29"/>
      <c r="AB85" s="29"/>
      <c r="AC85" s="28"/>
      <c r="AD85" s="29"/>
      <c r="AE85" s="29"/>
      <c r="AF85" s="29"/>
      <c r="AG85" s="29"/>
    </row>
    <row r="86" spans="3:33" ht="13.5" customHeight="1" x14ac:dyDescent="0.2">
      <c r="H86" s="124"/>
      <c r="I86" s="124"/>
      <c r="J86" s="124"/>
      <c r="K86" s="124"/>
      <c r="L86" s="124"/>
      <c r="M86" s="124"/>
      <c r="N86" s="124"/>
      <c r="O86" s="124"/>
      <c r="P86" s="124"/>
      <c r="R86" s="155"/>
      <c r="S86" s="124"/>
      <c r="T86" s="124"/>
      <c r="U86" s="124"/>
      <c r="V86" s="124"/>
      <c r="W86" s="124"/>
      <c r="X86" s="29"/>
      <c r="Y86" s="29"/>
      <c r="Z86" s="29"/>
      <c r="AA86" s="29"/>
      <c r="AB86" s="29"/>
      <c r="AC86" s="29"/>
      <c r="AD86" s="29"/>
      <c r="AE86" s="29"/>
      <c r="AF86" s="29"/>
      <c r="AG86" s="29"/>
    </row>
    <row r="87" spans="3:33" x14ac:dyDescent="0.2">
      <c r="H87" s="124"/>
      <c r="I87" s="124"/>
      <c r="J87" s="124"/>
      <c r="K87" s="124"/>
      <c r="L87" s="124"/>
      <c r="M87" s="124"/>
      <c r="N87" s="124"/>
      <c r="O87" s="124"/>
      <c r="P87" s="124"/>
      <c r="R87" s="155"/>
      <c r="S87" s="124"/>
      <c r="T87" s="124"/>
      <c r="U87" s="124"/>
      <c r="V87" s="124"/>
      <c r="W87" s="124"/>
      <c r="X87" s="29"/>
      <c r="Y87" s="29"/>
      <c r="Z87" s="29"/>
      <c r="AA87" s="29"/>
      <c r="AB87" s="29"/>
      <c r="AC87" s="29"/>
      <c r="AD87" s="29"/>
      <c r="AE87" s="29"/>
      <c r="AF87" s="29"/>
      <c r="AG87" s="29"/>
    </row>
    <row r="88" spans="3:33" ht="12.75" customHeight="1" x14ac:dyDescent="0.2">
      <c r="H88" s="124"/>
      <c r="I88" s="124"/>
      <c r="J88" s="124"/>
      <c r="K88" s="124"/>
      <c r="L88" s="124"/>
      <c r="M88" s="124"/>
      <c r="N88" s="124"/>
      <c r="O88" s="124"/>
      <c r="P88" s="124"/>
      <c r="R88" s="155"/>
      <c r="S88" s="124"/>
      <c r="T88" s="124"/>
      <c r="U88" s="124"/>
      <c r="V88" s="124"/>
      <c r="W88" s="124"/>
      <c r="X88" s="29"/>
      <c r="Y88" s="29"/>
      <c r="Z88" s="29"/>
      <c r="AA88" s="29"/>
      <c r="AB88" s="29"/>
      <c r="AC88" s="29"/>
      <c r="AD88" s="29"/>
      <c r="AE88" s="29"/>
      <c r="AF88" s="29"/>
      <c r="AG88" s="29"/>
    </row>
    <row r="89" spans="3:33" x14ac:dyDescent="0.2">
      <c r="H89" s="124"/>
      <c r="I89" s="124"/>
      <c r="J89" s="124"/>
      <c r="K89" s="124"/>
      <c r="L89" s="124"/>
      <c r="M89" s="124"/>
      <c r="N89" s="124"/>
      <c r="O89" s="124"/>
      <c r="P89" s="124"/>
      <c r="R89" s="155"/>
      <c r="S89" s="124"/>
      <c r="T89" s="124"/>
      <c r="U89" s="124"/>
      <c r="V89" s="124"/>
      <c r="W89" s="124"/>
      <c r="X89" s="29"/>
      <c r="Y89" s="29"/>
      <c r="Z89" s="29"/>
      <c r="AA89" s="29"/>
      <c r="AB89" s="29"/>
      <c r="AC89" s="29"/>
      <c r="AD89" s="29"/>
      <c r="AE89" s="29"/>
      <c r="AF89" s="29"/>
      <c r="AG89" s="29"/>
    </row>
    <row r="90" spans="3:33" x14ac:dyDescent="0.2">
      <c r="H90" s="124"/>
      <c r="I90" s="124"/>
      <c r="J90" s="124"/>
      <c r="K90" s="124"/>
      <c r="L90" s="124"/>
      <c r="M90" s="124"/>
      <c r="N90" s="124"/>
      <c r="O90" s="124"/>
      <c r="P90" s="124"/>
      <c r="R90" s="155"/>
      <c r="S90" s="124"/>
      <c r="T90" s="124"/>
      <c r="U90" s="124"/>
      <c r="V90" s="124"/>
      <c r="W90" s="124"/>
      <c r="X90" s="29"/>
      <c r="Y90" s="29"/>
      <c r="Z90" s="29"/>
      <c r="AA90" s="29"/>
      <c r="AB90" s="29"/>
      <c r="AC90" s="29"/>
      <c r="AD90" s="29"/>
      <c r="AE90" s="29"/>
      <c r="AF90" s="29"/>
      <c r="AG90" s="29"/>
    </row>
    <row r="91" spans="3:33" ht="24" customHeight="1" x14ac:dyDescent="0.2">
      <c r="H91" s="124"/>
      <c r="I91" s="124"/>
      <c r="J91" s="124"/>
      <c r="K91" s="124"/>
      <c r="L91" s="124"/>
      <c r="M91" s="124"/>
      <c r="N91" s="124"/>
      <c r="O91" s="124"/>
      <c r="P91" s="124"/>
      <c r="R91" s="155"/>
      <c r="S91" s="124"/>
      <c r="T91" s="124"/>
      <c r="U91" s="124"/>
      <c r="V91" s="124"/>
      <c r="W91" s="124"/>
      <c r="X91" s="29"/>
      <c r="Y91" s="29"/>
      <c r="Z91" s="29"/>
      <c r="AA91" s="29"/>
      <c r="AB91" s="29"/>
      <c r="AC91" s="29"/>
      <c r="AD91" s="29"/>
      <c r="AE91" s="29"/>
      <c r="AF91" s="29"/>
      <c r="AG91" s="29"/>
    </row>
    <row r="92" spans="3:33" x14ac:dyDescent="0.2">
      <c r="H92" s="124"/>
      <c r="I92" s="124"/>
      <c r="J92" s="124"/>
      <c r="K92" s="124"/>
      <c r="L92" s="124"/>
      <c r="M92" s="124"/>
      <c r="N92" s="124"/>
      <c r="O92" s="124"/>
      <c r="P92" s="124"/>
      <c r="R92" s="155"/>
      <c r="S92" s="124"/>
      <c r="T92" s="124"/>
      <c r="U92" s="124"/>
      <c r="V92" s="124"/>
      <c r="W92" s="124"/>
      <c r="X92" s="29"/>
      <c r="Y92" s="29"/>
      <c r="Z92" s="29"/>
      <c r="AA92" s="29"/>
      <c r="AB92" s="29"/>
      <c r="AC92" s="29"/>
      <c r="AD92" s="29"/>
      <c r="AE92" s="29"/>
      <c r="AF92" s="29"/>
      <c r="AG92" s="29"/>
    </row>
    <row r="93" spans="3:33" x14ac:dyDescent="0.2">
      <c r="H93" s="124"/>
      <c r="I93" s="124"/>
      <c r="J93" s="124"/>
      <c r="K93" s="124"/>
      <c r="L93" s="124"/>
      <c r="M93" s="124"/>
      <c r="N93" s="124"/>
      <c r="O93" s="124"/>
      <c r="P93" s="124"/>
      <c r="R93" s="155"/>
      <c r="S93" s="124"/>
      <c r="T93" s="124"/>
      <c r="U93" s="124"/>
      <c r="V93" s="124"/>
      <c r="W93" s="124"/>
      <c r="X93" s="29"/>
      <c r="Y93" s="29"/>
      <c r="Z93" s="29"/>
      <c r="AA93" s="29"/>
      <c r="AB93" s="29"/>
      <c r="AC93" s="29"/>
      <c r="AD93" s="29"/>
      <c r="AE93" s="29"/>
      <c r="AF93" s="29"/>
      <c r="AG93" s="29"/>
    </row>
    <row r="94" spans="3:33" ht="12.75" customHeight="1" x14ac:dyDescent="0.2">
      <c r="H94" s="124"/>
      <c r="I94" s="124"/>
      <c r="J94" s="124"/>
      <c r="K94" s="124"/>
      <c r="L94" s="124"/>
      <c r="M94" s="124"/>
      <c r="N94" s="124"/>
      <c r="O94" s="124"/>
      <c r="P94" s="124"/>
      <c r="R94" s="155"/>
      <c r="S94" s="124"/>
      <c r="T94" s="124"/>
      <c r="U94" s="124"/>
      <c r="V94" s="124"/>
      <c r="W94" s="124"/>
      <c r="X94" s="29"/>
      <c r="Y94" s="29"/>
      <c r="Z94" s="29"/>
      <c r="AA94" s="29"/>
      <c r="AB94" s="29"/>
      <c r="AC94" s="29"/>
      <c r="AD94" s="29"/>
      <c r="AE94" s="29"/>
      <c r="AF94" s="29"/>
      <c r="AG94" s="29"/>
    </row>
    <row r="95" spans="3:33" x14ac:dyDescent="0.2">
      <c r="C95" s="124"/>
      <c r="D95" s="124"/>
      <c r="E95" s="124"/>
      <c r="F95" s="124"/>
      <c r="G95" s="124"/>
      <c r="H95" s="124"/>
      <c r="I95" s="124"/>
      <c r="J95" s="127"/>
      <c r="K95" s="124"/>
      <c r="L95" s="124"/>
      <c r="M95" s="127"/>
      <c r="N95" s="127"/>
      <c r="O95" s="124"/>
      <c r="P95" s="124"/>
      <c r="R95" s="155"/>
      <c r="S95" s="124"/>
      <c r="T95" s="124"/>
      <c r="U95" s="124"/>
      <c r="V95" s="124"/>
      <c r="W95" s="140"/>
      <c r="X95" s="29"/>
      <c r="Y95" s="29"/>
      <c r="Z95" s="29"/>
      <c r="AA95" s="29"/>
      <c r="AB95" s="29"/>
      <c r="AC95" s="29"/>
      <c r="AD95" s="29"/>
      <c r="AE95" s="29"/>
      <c r="AF95" s="29"/>
      <c r="AG95" s="29"/>
    </row>
    <row r="96" spans="3:33" x14ac:dyDescent="0.2">
      <c r="C96" s="124"/>
      <c r="D96" s="124"/>
      <c r="E96" s="124"/>
      <c r="F96" s="124"/>
      <c r="G96" s="124"/>
      <c r="H96" s="124"/>
      <c r="I96" s="173"/>
      <c r="J96" s="173"/>
      <c r="K96" s="173"/>
      <c r="L96" s="173"/>
      <c r="M96" s="173"/>
      <c r="N96" s="173"/>
      <c r="O96" s="173"/>
      <c r="P96" s="173"/>
      <c r="Q96" s="231"/>
      <c r="R96" s="155"/>
      <c r="S96" s="124"/>
      <c r="T96" s="173"/>
      <c r="U96" s="217"/>
      <c r="V96" s="140"/>
      <c r="W96" s="140"/>
    </row>
    <row r="97" spans="3:23" x14ac:dyDescent="0.2">
      <c r="C97" s="124"/>
      <c r="D97" s="124"/>
      <c r="E97" s="124"/>
      <c r="F97" s="124"/>
      <c r="G97" s="124"/>
      <c r="H97" s="124"/>
      <c r="I97" s="173"/>
      <c r="J97" s="173"/>
      <c r="K97" s="173"/>
      <c r="L97" s="173"/>
      <c r="M97" s="173"/>
      <c r="N97" s="173"/>
      <c r="O97" s="173"/>
      <c r="P97" s="173"/>
      <c r="Q97" s="231"/>
      <c r="R97" s="155"/>
      <c r="S97" s="124"/>
      <c r="T97" s="124"/>
      <c r="U97" s="124"/>
      <c r="V97" s="140"/>
      <c r="W97" s="140"/>
    </row>
    <row r="98" spans="3:23" ht="22.5" customHeight="1" x14ac:dyDescent="0.2">
      <c r="C98" s="124"/>
      <c r="D98" s="124"/>
      <c r="E98" s="124"/>
      <c r="F98" s="124"/>
      <c r="G98" s="124"/>
      <c r="H98" s="124"/>
      <c r="I98" s="127"/>
      <c r="J98" s="124"/>
      <c r="K98" s="124"/>
      <c r="L98" s="124"/>
      <c r="M98" s="124"/>
      <c r="N98" s="124"/>
      <c r="O98" s="124"/>
      <c r="P98" s="124"/>
      <c r="R98" s="217"/>
      <c r="S98" s="173"/>
      <c r="T98" s="124"/>
      <c r="U98" s="124"/>
      <c r="V98" s="140"/>
      <c r="W98" s="140"/>
    </row>
    <row r="99" spans="3:23" x14ac:dyDescent="0.2">
      <c r="C99" s="124"/>
      <c r="H99" s="124"/>
      <c r="I99" s="127"/>
      <c r="J99" s="124"/>
      <c r="K99" s="124"/>
      <c r="L99" s="124"/>
      <c r="M99" s="124"/>
      <c r="N99" s="124"/>
      <c r="O99" s="124"/>
      <c r="P99" s="124"/>
      <c r="R99" s="217"/>
      <c r="S99" s="173"/>
      <c r="T99" s="124"/>
      <c r="U99" s="124"/>
      <c r="V99" s="140"/>
      <c r="W99" s="140"/>
    </row>
    <row r="100" spans="3:23" ht="0.75" customHeight="1" x14ac:dyDescent="0.2">
      <c r="C100" s="124"/>
      <c r="H100" s="124"/>
      <c r="I100" s="127"/>
      <c r="J100" s="124"/>
      <c r="K100" s="124"/>
      <c r="L100" s="124"/>
      <c r="M100" s="124"/>
      <c r="N100" s="124"/>
      <c r="O100" s="124"/>
      <c r="P100" s="124"/>
      <c r="R100" s="155"/>
      <c r="S100" s="124"/>
      <c r="T100" s="124"/>
      <c r="U100" s="124"/>
      <c r="V100" s="140"/>
      <c r="W100" s="140"/>
    </row>
    <row r="101" spans="3:23" ht="21.75" customHeight="1" x14ac:dyDescent="0.2">
      <c r="C101" s="124"/>
      <c r="H101" s="124"/>
      <c r="I101" s="127"/>
      <c r="J101" s="124"/>
      <c r="K101" s="124"/>
      <c r="L101" s="124"/>
      <c r="M101" s="124"/>
      <c r="N101" s="124"/>
      <c r="O101" s="124"/>
      <c r="P101" s="124"/>
      <c r="R101" s="155"/>
      <c r="S101" s="124"/>
      <c r="T101" s="124"/>
      <c r="U101" s="124"/>
      <c r="V101" s="140"/>
    </row>
    <row r="102" spans="3:23" ht="12.75" customHeight="1" x14ac:dyDescent="0.2">
      <c r="C102" s="124"/>
      <c r="P102" s="124"/>
      <c r="R102" s="155"/>
      <c r="S102" s="124"/>
    </row>
    <row r="103" spans="3:23" x14ac:dyDescent="0.2">
      <c r="C103" s="124"/>
      <c r="P103" s="124"/>
      <c r="R103" s="155"/>
      <c r="S103" s="124"/>
    </row>
    <row r="104" spans="3:23" x14ac:dyDescent="0.2">
      <c r="C104" s="124"/>
      <c r="P104" s="124"/>
      <c r="R104" s="155"/>
    </row>
    <row r="105" spans="3:23" x14ac:dyDescent="0.2">
      <c r="R105" s="155"/>
    </row>
    <row r="106" spans="3:23" x14ac:dyDescent="0.2">
      <c r="R106" s="155"/>
    </row>
    <row r="108" spans="3:23" x14ac:dyDescent="0.2">
      <c r="W108" s="12"/>
    </row>
    <row r="109" spans="3:23" x14ac:dyDescent="0.2">
      <c r="V109" s="12"/>
      <c r="W109" s="12"/>
    </row>
    <row r="110" spans="3:23" x14ac:dyDescent="0.2">
      <c r="V110" s="12"/>
      <c r="W110" s="12"/>
    </row>
    <row r="111" spans="3:23" x14ac:dyDescent="0.2">
      <c r="V111" s="12"/>
      <c r="W111" s="12"/>
    </row>
    <row r="112" spans="3:23" x14ac:dyDescent="0.2">
      <c r="V112" s="12"/>
      <c r="W112" s="12"/>
    </row>
    <row r="113" spans="22:23" x14ac:dyDescent="0.2">
      <c r="V113" s="12"/>
      <c r="W113" s="12"/>
    </row>
    <row r="114" spans="22:23" x14ac:dyDescent="0.2">
      <c r="V114" s="12"/>
      <c r="W114" s="12"/>
    </row>
    <row r="115" spans="22:23" x14ac:dyDescent="0.2">
      <c r="V115" s="12"/>
      <c r="W115" s="12"/>
    </row>
    <row r="116" spans="22:23" x14ac:dyDescent="0.2">
      <c r="V116" s="12"/>
      <c r="W116" s="12"/>
    </row>
    <row r="117" spans="22:23" x14ac:dyDescent="0.2">
      <c r="V117" s="12"/>
      <c r="W117" s="12"/>
    </row>
    <row r="118" spans="22:23" x14ac:dyDescent="0.2">
      <c r="V118" s="12"/>
      <c r="W118" s="12"/>
    </row>
    <row r="119" spans="22:23" x14ac:dyDescent="0.2">
      <c r="V119" s="12"/>
      <c r="W119" s="12"/>
    </row>
    <row r="120" spans="22:23" x14ac:dyDescent="0.2">
      <c r="V120" s="12"/>
      <c r="W120" s="12"/>
    </row>
    <row r="121" spans="22:23" x14ac:dyDescent="0.2">
      <c r="V121" s="12"/>
      <c r="W121" s="12"/>
    </row>
    <row r="122" spans="22:23" x14ac:dyDescent="0.2">
      <c r="V122" s="12"/>
      <c r="W122" s="12"/>
    </row>
    <row r="123" spans="22:23" x14ac:dyDescent="0.2">
      <c r="V123" s="12"/>
      <c r="W123" s="12"/>
    </row>
    <row r="124" spans="22:23" x14ac:dyDescent="0.2">
      <c r="V124" s="12"/>
    </row>
    <row r="150" spans="13:23" x14ac:dyDescent="0.2">
      <c r="W150" s="12"/>
    </row>
    <row r="151" spans="13:23" x14ac:dyDescent="0.2">
      <c r="M151" s="39"/>
      <c r="N151" s="39"/>
      <c r="O151" s="39"/>
      <c r="V151" s="12"/>
    </row>
    <row r="174" spans="20:23" x14ac:dyDescent="0.2">
      <c r="W174" s="12"/>
    </row>
    <row r="175" spans="20:23" x14ac:dyDescent="0.2">
      <c r="T175" s="29"/>
      <c r="U175" s="29"/>
      <c r="V175" s="12"/>
      <c r="W175" s="12"/>
    </row>
    <row r="176" spans="20:23" x14ac:dyDescent="0.2">
      <c r="T176" s="29"/>
      <c r="U176" s="29"/>
      <c r="V176" s="12"/>
    </row>
    <row r="177" spans="19:19" x14ac:dyDescent="0.2">
      <c r="S177" s="29"/>
    </row>
    <row r="178" spans="19:19" x14ac:dyDescent="0.2">
      <c r="S178" s="29"/>
    </row>
  </sheetData>
  <hyperlinks>
    <hyperlink ref="S1" location="Contents!A1" display="Back to Contents"/>
  </hyperlinks>
  <pageMargins left="0.70866141732283472" right="0.70866141732283472" top="0.74803149606299213" bottom="0.74803149606299213" header="0.31496062992125984" footer="0.31496062992125984"/>
  <pageSetup paperSize="9" scale="4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84"/>
  <sheetViews>
    <sheetView showGridLines="0" zoomScaleNormal="100" workbookViewId="0">
      <selection activeCell="O70" sqref="O70"/>
    </sheetView>
  </sheetViews>
  <sheetFormatPr defaultRowHeight="12.75" customHeight="1" x14ac:dyDescent="0.2"/>
  <cols>
    <col min="1" max="1" width="6.28515625" style="9" customWidth="1"/>
    <col min="2" max="2" width="2.140625" style="9" customWidth="1"/>
    <col min="3" max="3" width="6.42578125" style="9" customWidth="1"/>
    <col min="4" max="4" width="12.28515625" style="9" customWidth="1"/>
    <col min="5" max="10" width="9.140625" style="9"/>
    <col min="11" max="11" width="9.140625" style="9" customWidth="1"/>
    <col min="12" max="12" width="2.85546875" style="10" customWidth="1"/>
    <col min="13" max="13" width="6.7109375" style="11" customWidth="1"/>
    <col min="14" max="14" width="15" style="11" customWidth="1"/>
    <col min="15" max="15" width="14.5703125" style="11" customWidth="1"/>
    <col min="16" max="16" width="10.28515625" style="11" customWidth="1"/>
    <col min="17" max="17" width="8.5703125" style="11" customWidth="1"/>
    <col min="18" max="24" width="7.7109375" style="247" customWidth="1"/>
    <col min="25" max="27" width="7.7109375" style="248" customWidth="1"/>
    <col min="28" max="16384" width="9.140625" style="9"/>
  </cols>
  <sheetData>
    <row r="1" spans="2:57" ht="12.75" customHeight="1" x14ac:dyDescent="0.2">
      <c r="I1" s="8"/>
      <c r="J1" s="8"/>
      <c r="K1" s="8"/>
      <c r="O1" s="90" t="s">
        <v>226</v>
      </c>
    </row>
    <row r="2" spans="2:57" ht="25.5" customHeight="1" x14ac:dyDescent="0.35">
      <c r="C2" s="80" t="s">
        <v>208</v>
      </c>
      <c r="I2" s="8"/>
      <c r="J2" s="8"/>
      <c r="K2" s="8"/>
      <c r="N2" s="12"/>
    </row>
    <row r="3" spans="2:57" ht="6.75" customHeight="1" x14ac:dyDescent="0.35">
      <c r="C3" s="80"/>
      <c r="I3" s="8"/>
      <c r="J3" s="8"/>
      <c r="K3" s="8"/>
      <c r="N3" s="12"/>
      <c r="O3" s="90"/>
    </row>
    <row r="4" spans="2:57" ht="28.5" customHeight="1" x14ac:dyDescent="0.2">
      <c r="C4" s="305" t="s">
        <v>252</v>
      </c>
      <c r="D4" s="306"/>
      <c r="E4" s="306"/>
      <c r="F4" s="306"/>
      <c r="G4" s="306"/>
      <c r="H4" s="306"/>
      <c r="I4" s="306"/>
      <c r="J4" s="306"/>
      <c r="K4" s="306"/>
      <c r="L4" s="306"/>
      <c r="M4" s="306"/>
      <c r="N4" s="12"/>
      <c r="O4" s="9"/>
    </row>
    <row r="5" spans="2:57" ht="15" customHeight="1" x14ac:dyDescent="0.2">
      <c r="B5" s="8"/>
      <c r="C5" s="130"/>
      <c r="D5" s="8"/>
      <c r="E5" s="8"/>
      <c r="F5" s="8"/>
      <c r="G5" s="8"/>
      <c r="H5" s="8"/>
      <c r="I5" s="8"/>
      <c r="J5" s="8"/>
      <c r="K5" s="8"/>
      <c r="L5" s="8"/>
      <c r="M5" s="8"/>
      <c r="N5" s="12"/>
      <c r="O5" s="9"/>
    </row>
    <row r="6" spans="2:57" ht="12.75" customHeight="1" x14ac:dyDescent="0.25">
      <c r="O6" s="91" t="s">
        <v>256</v>
      </c>
    </row>
    <row r="7" spans="2:57" ht="12.75" customHeight="1" x14ac:dyDescent="0.2">
      <c r="B7" s="54"/>
      <c r="C7" s="41"/>
      <c r="D7" s="41"/>
      <c r="E7" s="41"/>
      <c r="F7" s="41"/>
      <c r="G7" s="41"/>
      <c r="H7" s="41"/>
      <c r="I7" s="41"/>
      <c r="J7" s="41"/>
      <c r="K7" s="41"/>
      <c r="L7" s="41"/>
      <c r="M7" s="41"/>
      <c r="Y7" s="247"/>
      <c r="Z7" s="247"/>
      <c r="AA7" s="247"/>
    </row>
    <row r="8" spans="2:57" ht="12.75" customHeight="1" x14ac:dyDescent="0.25">
      <c r="B8" s="54"/>
      <c r="C8" s="68" t="s">
        <v>249</v>
      </c>
      <c r="D8" s="41"/>
      <c r="E8" s="42"/>
      <c r="F8" s="42"/>
      <c r="G8" s="42"/>
      <c r="H8" s="42"/>
      <c r="I8" s="42"/>
      <c r="J8" s="42"/>
      <c r="K8" s="42"/>
      <c r="L8" s="45"/>
      <c r="M8" s="45"/>
      <c r="O8" s="13" t="s">
        <v>1</v>
      </c>
      <c r="P8" s="13" t="s">
        <v>34</v>
      </c>
      <c r="R8" s="249">
        <v>2007</v>
      </c>
      <c r="S8" s="249">
        <v>2008</v>
      </c>
      <c r="T8" s="249">
        <v>2009</v>
      </c>
      <c r="U8" s="249">
        <v>2010</v>
      </c>
      <c r="V8" s="249">
        <v>2011</v>
      </c>
      <c r="W8" s="249">
        <v>2012</v>
      </c>
      <c r="X8" s="249">
        <v>2013</v>
      </c>
      <c r="Y8" s="249">
        <v>2014</v>
      </c>
      <c r="Z8" s="249">
        <v>2015</v>
      </c>
      <c r="AA8" s="249">
        <v>2016</v>
      </c>
      <c r="AT8" s="9" t="s">
        <v>1</v>
      </c>
      <c r="AV8" s="9">
        <v>2007</v>
      </c>
      <c r="AW8" s="9">
        <v>2008</v>
      </c>
      <c r="AX8" s="9">
        <v>2009</v>
      </c>
      <c r="AY8" s="9">
        <v>2010</v>
      </c>
      <c r="AZ8" s="9">
        <v>2011</v>
      </c>
      <c r="BA8" s="9">
        <v>2012</v>
      </c>
      <c r="BB8" s="9">
        <v>2013</v>
      </c>
      <c r="BC8" s="9">
        <v>2014</v>
      </c>
      <c r="BD8" s="9">
        <v>2015</v>
      </c>
      <c r="BE8" s="9">
        <v>2016</v>
      </c>
    </row>
    <row r="9" spans="2:57" ht="12.75" customHeight="1" x14ac:dyDescent="0.2">
      <c r="B9" s="54"/>
      <c r="C9" s="41"/>
      <c r="D9" s="41"/>
      <c r="E9" s="42"/>
      <c r="F9" s="42"/>
      <c r="G9" s="42"/>
      <c r="H9" s="42"/>
      <c r="I9" s="42"/>
      <c r="J9" s="42"/>
      <c r="K9" s="42"/>
      <c r="L9" s="45"/>
      <c r="M9" s="45"/>
      <c r="AA9" s="247"/>
      <c r="AT9" s="9" t="s">
        <v>17</v>
      </c>
      <c r="AU9" s="9" t="s">
        <v>12</v>
      </c>
      <c r="AV9" s="245">
        <f t="shared" ref="AV9:BE9" si="0">VLOOKUP(AV$8&amp;"Male"&amp;"AllEth"&amp;19,agesextable,7,FALSE)</f>
        <v>17.981880281474702</v>
      </c>
      <c r="AW9" s="245">
        <f t="shared" si="0"/>
        <v>17.700121249097698</v>
      </c>
      <c r="AX9" s="245">
        <f t="shared" si="0"/>
        <v>18.249471294450601</v>
      </c>
      <c r="AY9" s="245">
        <f t="shared" si="0"/>
        <v>17.638688314312301</v>
      </c>
      <c r="AZ9" s="245">
        <f t="shared" si="0"/>
        <v>17.402217133944198</v>
      </c>
      <c r="BA9" s="245">
        <f t="shared" si="0"/>
        <v>18.616289554563799</v>
      </c>
      <c r="BB9" s="245">
        <f t="shared" si="0"/>
        <v>15.8972409761442</v>
      </c>
      <c r="BC9" s="245">
        <f t="shared" si="0"/>
        <v>16.4366760918771</v>
      </c>
      <c r="BD9" s="245">
        <f t="shared" si="0"/>
        <v>16.433078219363999</v>
      </c>
      <c r="BE9" s="245">
        <f t="shared" si="0"/>
        <v>16.972070209267699</v>
      </c>
    </row>
    <row r="10" spans="2:57" ht="12.75" customHeight="1" x14ac:dyDescent="0.2">
      <c r="B10" s="54"/>
      <c r="C10" s="41"/>
      <c r="D10" s="41"/>
      <c r="E10" s="42"/>
      <c r="F10" s="42"/>
      <c r="G10" s="42"/>
      <c r="H10" s="42"/>
      <c r="I10" s="42"/>
      <c r="J10" s="42"/>
      <c r="K10" s="42"/>
      <c r="L10" s="45"/>
      <c r="M10" s="45"/>
      <c r="O10" s="11" t="s">
        <v>0</v>
      </c>
      <c r="P10" s="18" t="s">
        <v>6</v>
      </c>
      <c r="Q10" s="11" t="s">
        <v>18</v>
      </c>
      <c r="R10" s="83">
        <f t="shared" ref="R10:AA10" si="1">VLOOKUP(R$8&amp;"AllSex"&amp;"AllEth"&amp;19,agesextable,6,FALSE)</f>
        <v>501</v>
      </c>
      <c r="S10" s="83">
        <f t="shared" si="1"/>
        <v>518</v>
      </c>
      <c r="T10" s="83">
        <f t="shared" si="1"/>
        <v>512</v>
      </c>
      <c r="U10" s="83">
        <f t="shared" si="1"/>
        <v>534</v>
      </c>
      <c r="V10" s="83">
        <f t="shared" si="1"/>
        <v>494</v>
      </c>
      <c r="W10" s="83">
        <f t="shared" si="1"/>
        <v>550</v>
      </c>
      <c r="X10" s="83">
        <f t="shared" si="1"/>
        <v>513</v>
      </c>
      <c r="Y10" s="83">
        <f t="shared" si="1"/>
        <v>510</v>
      </c>
      <c r="Z10" s="83">
        <f t="shared" si="1"/>
        <v>529</v>
      </c>
      <c r="AA10" s="83">
        <f t="shared" si="1"/>
        <v>553</v>
      </c>
      <c r="AU10" s="9" t="s">
        <v>13</v>
      </c>
      <c r="AV10" s="9">
        <f t="shared" ref="AV10:BE10" si="2">VLOOKUP(AV$8&amp;"Male"&amp;"AllEth"&amp;19,agesextable,8,FALSE)</f>
        <v>1.8</v>
      </c>
      <c r="AW10" s="9">
        <f t="shared" si="2"/>
        <v>1.8</v>
      </c>
      <c r="AX10" s="9">
        <f t="shared" si="2"/>
        <v>1.8</v>
      </c>
      <c r="AY10" s="9">
        <f t="shared" si="2"/>
        <v>1.8</v>
      </c>
      <c r="AZ10" s="9">
        <f t="shared" si="2"/>
        <v>1.8</v>
      </c>
      <c r="BA10" s="9">
        <f t="shared" si="2"/>
        <v>1.8</v>
      </c>
      <c r="BB10" s="9">
        <f t="shared" si="2"/>
        <v>1.6</v>
      </c>
      <c r="BC10" s="9">
        <f t="shared" si="2"/>
        <v>1.7</v>
      </c>
      <c r="BD10" s="9">
        <f t="shared" si="2"/>
        <v>1.6</v>
      </c>
      <c r="BE10" s="9">
        <f t="shared" si="2"/>
        <v>1.6</v>
      </c>
    </row>
    <row r="11" spans="2:57" ht="12.75" customHeight="1" x14ac:dyDescent="0.2">
      <c r="B11" s="54"/>
      <c r="C11" s="41"/>
      <c r="D11" s="41"/>
      <c r="E11" s="42"/>
      <c r="F11" s="42"/>
      <c r="G11" s="42"/>
      <c r="H11" s="42"/>
      <c r="I11" s="42"/>
      <c r="J11" s="42"/>
      <c r="K11" s="42"/>
      <c r="L11" s="44"/>
      <c r="M11" s="45"/>
      <c r="O11" s="11" t="s">
        <v>17</v>
      </c>
      <c r="P11" s="18"/>
      <c r="R11" s="83">
        <f t="shared" ref="R11:AA11" si="3">VLOOKUP(R$8&amp;"Male"&amp;"AllEth"&amp;19,agesextable,6,FALSE)</f>
        <v>381</v>
      </c>
      <c r="S11" s="83">
        <f t="shared" si="3"/>
        <v>379</v>
      </c>
      <c r="T11" s="83">
        <f t="shared" si="3"/>
        <v>394</v>
      </c>
      <c r="U11" s="83">
        <f t="shared" si="3"/>
        <v>387</v>
      </c>
      <c r="V11" s="83">
        <f t="shared" si="3"/>
        <v>377</v>
      </c>
      <c r="W11" s="83">
        <f t="shared" si="3"/>
        <v>405</v>
      </c>
      <c r="X11" s="83">
        <f t="shared" si="3"/>
        <v>365</v>
      </c>
      <c r="Y11" s="83">
        <f t="shared" si="3"/>
        <v>379</v>
      </c>
      <c r="Z11" s="83">
        <f t="shared" si="3"/>
        <v>386</v>
      </c>
      <c r="AA11" s="83">
        <f t="shared" si="3"/>
        <v>412</v>
      </c>
      <c r="AT11" s="9" t="s">
        <v>5</v>
      </c>
      <c r="AU11" s="9" t="s">
        <v>12</v>
      </c>
      <c r="AV11" s="245">
        <f t="shared" ref="AV11:BE11" si="4">VLOOKUP(AV$8&amp;"Female"&amp;"AllEth"&amp;19,agesextable,7,FALSE)</f>
        <v>5.16144825407138</v>
      </c>
      <c r="AW11" s="245">
        <f t="shared" si="4"/>
        <v>6.26512973729122</v>
      </c>
      <c r="AX11" s="245">
        <f t="shared" si="4"/>
        <v>5.08858477285475</v>
      </c>
      <c r="AY11" s="245">
        <f t="shared" si="4"/>
        <v>6.5442717734968303</v>
      </c>
      <c r="AZ11" s="245">
        <f t="shared" si="4"/>
        <v>5.1499552709199499</v>
      </c>
      <c r="BA11" s="245">
        <f t="shared" si="4"/>
        <v>6.37288192291782</v>
      </c>
      <c r="BB11" s="245">
        <f t="shared" si="4"/>
        <v>6.4674511523826501</v>
      </c>
      <c r="BC11" s="245">
        <f t="shared" si="4"/>
        <v>5.4860225639845002</v>
      </c>
      <c r="BD11" s="245">
        <f t="shared" si="4"/>
        <v>6.0322358448962898</v>
      </c>
      <c r="BE11" s="245">
        <f t="shared" si="4"/>
        <v>5.8187112457885704</v>
      </c>
    </row>
    <row r="12" spans="2:57" ht="12.75" customHeight="1" x14ac:dyDescent="0.2">
      <c r="B12" s="54"/>
      <c r="C12" s="41"/>
      <c r="D12" s="41"/>
      <c r="E12" s="42"/>
      <c r="F12" s="42"/>
      <c r="G12" s="42"/>
      <c r="H12" s="42"/>
      <c r="I12" s="42"/>
      <c r="J12" s="42"/>
      <c r="K12" s="42"/>
      <c r="L12" s="44"/>
      <c r="M12" s="45"/>
      <c r="O12" s="11" t="s">
        <v>5</v>
      </c>
      <c r="P12" s="18"/>
      <c r="R12" s="83">
        <f t="shared" ref="R12:AA12" si="5">VLOOKUP(R$8&amp;"Female"&amp;"AllEth"&amp;19,agesextable,6,FALSE)</f>
        <v>120</v>
      </c>
      <c r="S12" s="83">
        <f t="shared" si="5"/>
        <v>139</v>
      </c>
      <c r="T12" s="83">
        <f t="shared" si="5"/>
        <v>118</v>
      </c>
      <c r="U12" s="83">
        <f t="shared" si="5"/>
        <v>147</v>
      </c>
      <c r="V12" s="83">
        <f t="shared" si="5"/>
        <v>117</v>
      </c>
      <c r="W12" s="83">
        <f t="shared" si="5"/>
        <v>145</v>
      </c>
      <c r="X12" s="83">
        <f t="shared" si="5"/>
        <v>148</v>
      </c>
      <c r="Y12" s="83">
        <f t="shared" si="5"/>
        <v>131</v>
      </c>
      <c r="Z12" s="83">
        <f t="shared" si="5"/>
        <v>143</v>
      </c>
      <c r="AA12" s="83">
        <f t="shared" si="5"/>
        <v>141</v>
      </c>
      <c r="AU12" s="9" t="s">
        <v>13</v>
      </c>
      <c r="AV12" s="9">
        <f t="shared" ref="AV12:BE12" si="6">VLOOKUP(AV$8&amp;"Female"&amp;"AllEth"&amp;19,agesextable,8,FALSE)</f>
        <v>0.9</v>
      </c>
      <c r="AW12" s="9">
        <f t="shared" si="6"/>
        <v>1</v>
      </c>
      <c r="AX12" s="9">
        <f t="shared" si="6"/>
        <v>0.9</v>
      </c>
      <c r="AY12" s="9">
        <f t="shared" si="6"/>
        <v>1.1000000000000001</v>
      </c>
      <c r="AZ12" s="9">
        <f t="shared" si="6"/>
        <v>0.9</v>
      </c>
      <c r="BA12" s="9">
        <f t="shared" si="6"/>
        <v>1</v>
      </c>
      <c r="BB12" s="9">
        <f t="shared" si="6"/>
        <v>1</v>
      </c>
      <c r="BC12" s="9">
        <f t="shared" si="6"/>
        <v>0.9</v>
      </c>
      <c r="BD12" s="9">
        <f t="shared" si="6"/>
        <v>1</v>
      </c>
      <c r="BE12" s="9">
        <f t="shared" si="6"/>
        <v>1</v>
      </c>
    </row>
    <row r="13" spans="2:57" ht="12.75" customHeight="1" x14ac:dyDescent="0.2">
      <c r="B13" s="54"/>
      <c r="C13" s="41"/>
      <c r="D13" s="41"/>
      <c r="E13" s="42"/>
      <c r="F13" s="42"/>
      <c r="G13" s="42"/>
      <c r="H13" s="42"/>
      <c r="I13" s="42"/>
      <c r="J13" s="42"/>
      <c r="K13" s="42"/>
      <c r="L13" s="44"/>
      <c r="M13" s="45"/>
      <c r="O13" s="16"/>
      <c r="P13" s="205"/>
      <c r="Q13" s="16"/>
      <c r="R13" s="262"/>
      <c r="S13" s="262"/>
      <c r="T13" s="262"/>
      <c r="U13" s="262"/>
      <c r="V13" s="262"/>
      <c r="W13" s="262"/>
      <c r="X13" s="262"/>
      <c r="Y13" s="264"/>
      <c r="Z13" s="264"/>
      <c r="AA13" s="262"/>
      <c r="AB13" s="47"/>
    </row>
    <row r="14" spans="2:57" ht="12.75" customHeight="1" x14ac:dyDescent="0.2">
      <c r="B14" s="54"/>
      <c r="C14" s="41"/>
      <c r="D14" s="41"/>
      <c r="E14" s="42"/>
      <c r="F14" s="42"/>
      <c r="G14" s="42"/>
      <c r="H14" s="42"/>
      <c r="I14" s="42"/>
      <c r="J14" s="42"/>
      <c r="K14" s="42"/>
      <c r="L14" s="44"/>
      <c r="M14" s="45"/>
      <c r="O14" s="11" t="s">
        <v>0</v>
      </c>
      <c r="P14" s="18" t="s">
        <v>6</v>
      </c>
      <c r="Q14" s="11" t="s">
        <v>19</v>
      </c>
      <c r="R14" s="84">
        <f t="shared" ref="R14:AA14" si="7">VLOOKUP(R$8&amp;"AllSex"&amp;"AllEth"&amp;19,agesextable,7,FALSE)</f>
        <v>11.3776715520784</v>
      </c>
      <c r="S14" s="84">
        <f t="shared" si="7"/>
        <v>11.809655272717</v>
      </c>
      <c r="T14" s="84">
        <f t="shared" si="7"/>
        <v>11.484055558810701</v>
      </c>
      <c r="U14" s="84">
        <f t="shared" si="7"/>
        <v>11.9073434349195</v>
      </c>
      <c r="V14" s="84">
        <f t="shared" si="7"/>
        <v>11.118020247642701</v>
      </c>
      <c r="W14" s="84">
        <f t="shared" si="7"/>
        <v>12.338278444361899</v>
      </c>
      <c r="X14" s="84">
        <f t="shared" si="7"/>
        <v>11.0080199296969</v>
      </c>
      <c r="Y14" s="84">
        <f t="shared" si="7"/>
        <v>10.808867367895701</v>
      </c>
      <c r="Z14" s="84">
        <f t="shared" si="7"/>
        <v>11.0870646638965</v>
      </c>
      <c r="AA14" s="84">
        <f t="shared" si="7"/>
        <v>11.303636553634</v>
      </c>
      <c r="AB14" s="46"/>
    </row>
    <row r="15" spans="2:57" ht="12.75" customHeight="1" x14ac:dyDescent="0.2">
      <c r="B15" s="54"/>
      <c r="C15" s="41"/>
      <c r="D15" s="41"/>
      <c r="E15" s="42"/>
      <c r="F15" s="42"/>
      <c r="G15" s="42"/>
      <c r="H15" s="42"/>
      <c r="I15" s="42"/>
      <c r="J15" s="42"/>
      <c r="K15" s="42"/>
      <c r="L15" s="44"/>
      <c r="M15" s="45"/>
      <c r="O15" s="11" t="s">
        <v>17</v>
      </c>
      <c r="P15" s="18"/>
      <c r="R15" s="84">
        <f t="shared" ref="R15:AA15" si="8">VLOOKUP(R$8&amp;"Male"&amp;"AllEth"&amp;19,agesextable,7,FALSE)</f>
        <v>17.981880281474702</v>
      </c>
      <c r="S15" s="84">
        <f t="shared" si="8"/>
        <v>17.700121249097698</v>
      </c>
      <c r="T15" s="84">
        <f t="shared" si="8"/>
        <v>18.249471294450601</v>
      </c>
      <c r="U15" s="84">
        <f t="shared" si="8"/>
        <v>17.638688314312301</v>
      </c>
      <c r="V15" s="84">
        <f t="shared" si="8"/>
        <v>17.402217133944198</v>
      </c>
      <c r="W15" s="84">
        <f t="shared" si="8"/>
        <v>18.616289554563799</v>
      </c>
      <c r="X15" s="84">
        <f t="shared" si="8"/>
        <v>15.8972409761442</v>
      </c>
      <c r="Y15" s="84">
        <f t="shared" si="8"/>
        <v>16.4366760918771</v>
      </c>
      <c r="Z15" s="84">
        <f t="shared" si="8"/>
        <v>16.433078219363999</v>
      </c>
      <c r="AA15" s="84">
        <f t="shared" si="8"/>
        <v>16.972070209267699</v>
      </c>
      <c r="AB15" s="46"/>
    </row>
    <row r="16" spans="2:57" ht="12.75" customHeight="1" x14ac:dyDescent="0.2">
      <c r="B16" s="54"/>
      <c r="C16" s="41"/>
      <c r="D16" s="41"/>
      <c r="E16" s="42"/>
      <c r="F16" s="42"/>
      <c r="G16" s="42"/>
      <c r="H16" s="42"/>
      <c r="I16" s="42"/>
      <c r="J16" s="42"/>
      <c r="K16" s="42"/>
      <c r="L16" s="41"/>
      <c r="M16" s="45"/>
      <c r="O16" s="11" t="s">
        <v>5</v>
      </c>
      <c r="P16" s="18"/>
      <c r="R16" s="84">
        <f t="shared" ref="R16:AA16" si="9">VLOOKUP(R$8&amp;"Female"&amp;"AllEth"&amp;19,agesextable,7,FALSE)</f>
        <v>5.16144825407138</v>
      </c>
      <c r="S16" s="84">
        <f t="shared" si="9"/>
        <v>6.26512973729122</v>
      </c>
      <c r="T16" s="84">
        <f t="shared" si="9"/>
        <v>5.08858477285475</v>
      </c>
      <c r="U16" s="84">
        <f t="shared" si="9"/>
        <v>6.5442717734968303</v>
      </c>
      <c r="V16" s="84">
        <f t="shared" si="9"/>
        <v>5.1499552709199499</v>
      </c>
      <c r="W16" s="84">
        <f t="shared" si="9"/>
        <v>6.37288192291782</v>
      </c>
      <c r="X16" s="84">
        <f t="shared" si="9"/>
        <v>6.4674511523826501</v>
      </c>
      <c r="Y16" s="84">
        <f t="shared" si="9"/>
        <v>5.4860225639845002</v>
      </c>
      <c r="Z16" s="84">
        <f t="shared" si="9"/>
        <v>6.0322358448962898</v>
      </c>
      <c r="AA16" s="84">
        <f t="shared" si="9"/>
        <v>5.8187112457885704</v>
      </c>
    </row>
    <row r="17" spans="2:27" ht="12.75" customHeight="1" x14ac:dyDescent="0.2">
      <c r="B17" s="54"/>
      <c r="C17" s="41"/>
      <c r="D17" s="41"/>
      <c r="E17" s="42"/>
      <c r="F17" s="42"/>
      <c r="G17" s="42"/>
      <c r="H17" s="42"/>
      <c r="I17" s="42"/>
      <c r="J17" s="42"/>
      <c r="K17" s="42"/>
      <c r="L17" s="44"/>
      <c r="M17" s="45"/>
      <c r="O17" s="16"/>
      <c r="P17" s="205"/>
      <c r="Q17" s="16"/>
      <c r="R17" s="262"/>
      <c r="S17" s="262"/>
      <c r="T17" s="262"/>
      <c r="U17" s="262"/>
      <c r="V17" s="262"/>
      <c r="W17" s="262"/>
      <c r="X17" s="262"/>
      <c r="Y17" s="262"/>
      <c r="Z17" s="262"/>
      <c r="AA17" s="262"/>
    </row>
    <row r="18" spans="2:27" ht="12.75" customHeight="1" x14ac:dyDescent="0.2">
      <c r="B18" s="54"/>
      <c r="C18" s="41"/>
      <c r="D18" s="41"/>
      <c r="E18" s="42"/>
      <c r="F18" s="42"/>
      <c r="G18" s="42"/>
      <c r="H18" s="42"/>
      <c r="I18" s="42"/>
      <c r="J18" s="42"/>
      <c r="K18" s="42"/>
      <c r="L18" s="44"/>
      <c r="M18" s="45"/>
      <c r="O18" s="11" t="s">
        <v>92</v>
      </c>
      <c r="P18" s="18" t="s">
        <v>93</v>
      </c>
      <c r="Q18" s="11" t="s">
        <v>73</v>
      </c>
      <c r="R18" s="84">
        <f t="shared" ref="R18:AA18" si="10">R15/R16</f>
        <v>3.4838827004204664</v>
      </c>
      <c r="S18" s="84">
        <f t="shared" si="10"/>
        <v>2.8251803220838791</v>
      </c>
      <c r="T18" s="84">
        <f t="shared" si="10"/>
        <v>3.5863549707972053</v>
      </c>
      <c r="U18" s="84">
        <f t="shared" si="10"/>
        <v>2.6952866452988613</v>
      </c>
      <c r="V18" s="84">
        <f t="shared" si="10"/>
        <v>3.3791006365062266</v>
      </c>
      <c r="W18" s="84">
        <f t="shared" si="10"/>
        <v>2.9211728351057134</v>
      </c>
      <c r="X18" s="84">
        <f t="shared" si="10"/>
        <v>2.4580380433623463</v>
      </c>
      <c r="Y18" s="84">
        <f t="shared" si="10"/>
        <v>2.9961007086961624</v>
      </c>
      <c r="Z18" s="84">
        <f t="shared" si="10"/>
        <v>2.7242101671584309</v>
      </c>
      <c r="AA18" s="84">
        <f t="shared" si="10"/>
        <v>2.9168091510902237</v>
      </c>
    </row>
    <row r="19" spans="2:27" ht="12.75" customHeight="1" x14ac:dyDescent="0.2">
      <c r="B19" s="54"/>
      <c r="C19" s="41"/>
      <c r="D19" s="41"/>
      <c r="E19" s="42"/>
      <c r="F19" s="42"/>
      <c r="G19" s="42"/>
      <c r="H19" s="42"/>
      <c r="I19" s="42"/>
      <c r="J19" s="42"/>
      <c r="K19" s="42"/>
      <c r="L19" s="44"/>
      <c r="M19" s="45"/>
      <c r="AA19" s="247"/>
    </row>
    <row r="20" spans="2:27" ht="12.75" customHeight="1" x14ac:dyDescent="0.2">
      <c r="B20" s="54"/>
      <c r="C20" s="41"/>
      <c r="D20" s="41"/>
      <c r="E20" s="42"/>
      <c r="F20" s="42"/>
      <c r="G20" s="42"/>
      <c r="H20" s="42"/>
      <c r="I20" s="42"/>
      <c r="J20" s="42"/>
      <c r="K20" s="42"/>
      <c r="L20" s="44"/>
      <c r="M20" s="45"/>
      <c r="O20" s="166" t="s">
        <v>210</v>
      </c>
      <c r="P20" s="166"/>
      <c r="Q20" s="167"/>
      <c r="R20" s="265"/>
      <c r="S20" s="265"/>
      <c r="T20" s="265"/>
      <c r="U20" s="265"/>
      <c r="V20" s="265"/>
      <c r="W20" s="265"/>
      <c r="X20" s="265"/>
      <c r="Y20" s="265"/>
      <c r="Z20" s="265"/>
      <c r="AA20" s="247"/>
    </row>
    <row r="21" spans="2:27" ht="12.75" customHeight="1" x14ac:dyDescent="0.2">
      <c r="B21" s="54"/>
      <c r="C21" s="43" t="s">
        <v>68</v>
      </c>
      <c r="D21" s="43" t="s">
        <v>71</v>
      </c>
      <c r="E21" s="42"/>
      <c r="F21" s="42"/>
      <c r="G21" s="42"/>
      <c r="H21" s="42"/>
      <c r="I21" s="42"/>
      <c r="J21" s="42"/>
      <c r="K21" s="42"/>
      <c r="L21" s="44"/>
      <c r="M21" s="45"/>
      <c r="O21" s="166" t="s">
        <v>69</v>
      </c>
      <c r="P21" s="166"/>
      <c r="Q21" s="148"/>
      <c r="R21" s="265"/>
      <c r="S21" s="265"/>
      <c r="T21" s="265"/>
      <c r="U21" s="265"/>
      <c r="V21" s="265"/>
      <c r="W21" s="265"/>
      <c r="X21" s="265"/>
      <c r="Y21" s="265"/>
      <c r="Z21" s="265"/>
      <c r="AA21" s="247"/>
    </row>
    <row r="22" spans="2:27" ht="12.75" customHeight="1" x14ac:dyDescent="0.2">
      <c r="B22" s="54"/>
      <c r="C22" s="41"/>
      <c r="D22" s="43" t="s">
        <v>182</v>
      </c>
      <c r="E22" s="41"/>
      <c r="F22" s="41"/>
      <c r="G22" s="42"/>
      <c r="H22" s="42"/>
      <c r="I22" s="42"/>
      <c r="J22" s="42"/>
      <c r="K22" s="42"/>
      <c r="L22" s="44"/>
      <c r="M22" s="45"/>
      <c r="O22" s="15"/>
      <c r="P22" s="15"/>
      <c r="Q22" s="15"/>
      <c r="R22" s="264"/>
      <c r="S22" s="264"/>
      <c r="T22" s="264"/>
      <c r="U22" s="264"/>
      <c r="V22" s="264"/>
      <c r="W22" s="264"/>
      <c r="X22" s="264"/>
      <c r="Y22" s="264"/>
      <c r="Z22" s="264"/>
      <c r="AA22" s="262"/>
    </row>
    <row r="23" spans="2:27" ht="12.75" customHeight="1" x14ac:dyDescent="0.2">
      <c r="B23" s="54"/>
      <c r="C23" s="55" t="s">
        <v>97</v>
      </c>
      <c r="D23" s="55" t="s">
        <v>96</v>
      </c>
      <c r="E23" s="54"/>
      <c r="F23" s="54"/>
      <c r="G23" s="56"/>
      <c r="H23" s="56"/>
      <c r="I23" s="56"/>
      <c r="J23" s="56"/>
      <c r="K23" s="56"/>
      <c r="L23" s="60"/>
      <c r="M23" s="61"/>
      <c r="AA23" s="247"/>
    </row>
    <row r="24" spans="2:27" ht="12.75" customHeight="1" x14ac:dyDescent="0.2">
      <c r="B24" s="56"/>
      <c r="C24" s="56"/>
      <c r="D24" s="56"/>
      <c r="E24" s="56"/>
      <c r="F24" s="56"/>
      <c r="G24" s="56"/>
      <c r="H24" s="56"/>
      <c r="I24" s="56"/>
      <c r="J24" s="56"/>
      <c r="K24" s="56"/>
      <c r="L24" s="56"/>
      <c r="M24" s="56"/>
      <c r="Y24" s="247"/>
      <c r="Z24" s="247"/>
      <c r="AA24" s="247"/>
    </row>
    <row r="25" spans="2:27" ht="12.75" customHeight="1" x14ac:dyDescent="0.25">
      <c r="C25" s="40"/>
      <c r="G25" s="8"/>
      <c r="H25" s="8"/>
      <c r="I25" s="8"/>
      <c r="J25" s="8"/>
      <c r="K25" s="8"/>
      <c r="O25" s="91" t="s">
        <v>273</v>
      </c>
      <c r="Y25" s="247"/>
      <c r="Z25" s="247"/>
      <c r="AA25" s="247"/>
    </row>
    <row r="26" spans="2:27" ht="12.75" customHeight="1" x14ac:dyDescent="0.2">
      <c r="B26" s="54"/>
      <c r="C26" s="55"/>
      <c r="D26" s="54"/>
      <c r="E26" s="54"/>
      <c r="F26" s="54"/>
      <c r="G26" s="56"/>
      <c r="H26" s="56"/>
      <c r="I26" s="56"/>
      <c r="J26" s="56"/>
      <c r="K26" s="56"/>
      <c r="L26" s="60"/>
      <c r="M26" s="61"/>
      <c r="O26" s="9"/>
      <c r="P26" s="9"/>
      <c r="Q26" s="9"/>
      <c r="R26" s="248"/>
      <c r="S26" s="248"/>
      <c r="T26" s="248"/>
      <c r="U26" s="248"/>
      <c r="V26" s="248"/>
      <c r="W26" s="248"/>
      <c r="X26" s="248"/>
    </row>
    <row r="27" spans="2:27" ht="12.75" customHeight="1" x14ac:dyDescent="0.25">
      <c r="B27" s="54"/>
      <c r="C27" s="66" t="s">
        <v>250</v>
      </c>
      <c r="D27" s="54"/>
      <c r="E27" s="56"/>
      <c r="F27" s="56"/>
      <c r="G27" s="56"/>
      <c r="H27" s="56"/>
      <c r="I27" s="56"/>
      <c r="J27" s="56"/>
      <c r="K27" s="56"/>
      <c r="L27" s="60"/>
      <c r="M27" s="61"/>
      <c r="O27" s="13" t="s">
        <v>1</v>
      </c>
      <c r="P27" s="13" t="s">
        <v>34</v>
      </c>
      <c r="Q27" s="13"/>
      <c r="R27" s="249">
        <v>2007</v>
      </c>
      <c r="S27" s="249">
        <v>2008</v>
      </c>
      <c r="T27" s="249">
        <v>2009</v>
      </c>
      <c r="U27" s="249">
        <v>2010</v>
      </c>
      <c r="V27" s="249">
        <v>2011</v>
      </c>
      <c r="W27" s="249">
        <v>2012</v>
      </c>
      <c r="X27" s="249">
        <v>2013</v>
      </c>
      <c r="Y27" s="249">
        <v>2014</v>
      </c>
      <c r="Z27" s="249">
        <v>2015</v>
      </c>
      <c r="AA27" s="249">
        <v>2016</v>
      </c>
    </row>
    <row r="28" spans="2:27" ht="12.75" customHeight="1" x14ac:dyDescent="0.2">
      <c r="B28" s="54"/>
      <c r="C28" s="54"/>
      <c r="D28" s="54"/>
      <c r="E28" s="56"/>
      <c r="F28" s="56"/>
      <c r="G28" s="56"/>
      <c r="H28" s="56"/>
      <c r="I28" s="56"/>
      <c r="J28" s="56"/>
      <c r="K28" s="56"/>
      <c r="L28" s="60"/>
      <c r="M28" s="61"/>
      <c r="O28" s="18"/>
      <c r="AA28" s="247"/>
    </row>
    <row r="29" spans="2:27" ht="12.75" customHeight="1" x14ac:dyDescent="0.2">
      <c r="B29" s="54"/>
      <c r="C29" s="54"/>
      <c r="D29" s="54"/>
      <c r="E29" s="56"/>
      <c r="F29" s="56"/>
      <c r="G29" s="56"/>
      <c r="H29" s="56"/>
      <c r="I29" s="56"/>
      <c r="J29" s="56"/>
      <c r="K29" s="56"/>
      <c r="L29" s="60"/>
      <c r="M29" s="61"/>
      <c r="O29" s="18" t="s">
        <v>0</v>
      </c>
      <c r="P29" s="198" t="s">
        <v>98</v>
      </c>
      <c r="Q29" s="18" t="s">
        <v>18</v>
      </c>
      <c r="R29" s="83">
        <f t="shared" ref="R29:AA29" si="11">VLOOKUP(R$8&amp;"AllSex"&amp;"AllEth"&amp;22,agesextable,6,FALSE)</f>
        <v>94</v>
      </c>
      <c r="S29" s="83">
        <f t="shared" si="11"/>
        <v>121</v>
      </c>
      <c r="T29" s="83">
        <f t="shared" si="11"/>
        <v>116</v>
      </c>
      <c r="U29" s="83">
        <f t="shared" si="11"/>
        <v>111</v>
      </c>
      <c r="V29" s="83">
        <f t="shared" si="11"/>
        <v>130</v>
      </c>
      <c r="W29" s="83">
        <f t="shared" si="11"/>
        <v>148</v>
      </c>
      <c r="X29" s="83">
        <f t="shared" si="11"/>
        <v>111</v>
      </c>
      <c r="Y29" s="83">
        <f t="shared" si="11"/>
        <v>89</v>
      </c>
      <c r="Z29" s="83">
        <f t="shared" si="11"/>
        <v>111</v>
      </c>
      <c r="AA29" s="83">
        <f t="shared" si="11"/>
        <v>112</v>
      </c>
    </row>
    <row r="30" spans="2:27" ht="12.75" customHeight="1" x14ac:dyDescent="0.2">
      <c r="B30" s="54"/>
      <c r="C30" s="54"/>
      <c r="D30" s="54"/>
      <c r="E30" s="56"/>
      <c r="F30" s="56"/>
      <c r="G30" s="56"/>
      <c r="H30" s="56"/>
      <c r="I30" s="56"/>
      <c r="J30" s="56"/>
      <c r="K30" s="56"/>
      <c r="L30" s="60"/>
      <c r="M30" s="61"/>
      <c r="O30" s="18"/>
      <c r="P30" s="198" t="s">
        <v>32</v>
      </c>
      <c r="Q30" s="18"/>
      <c r="R30" s="83">
        <f t="shared" ref="R30:AA30" si="12">VLOOKUP(R$8&amp;"AllSex"&amp;"AllEth"&amp;23,agesextable,6,FALSE)</f>
        <v>213</v>
      </c>
      <c r="S30" s="83">
        <f t="shared" si="12"/>
        <v>182</v>
      </c>
      <c r="T30" s="83">
        <f t="shared" si="12"/>
        <v>173</v>
      </c>
      <c r="U30" s="83">
        <f t="shared" si="12"/>
        <v>199</v>
      </c>
      <c r="V30" s="83">
        <f t="shared" si="12"/>
        <v>163</v>
      </c>
      <c r="W30" s="83">
        <f t="shared" si="12"/>
        <v>186</v>
      </c>
      <c r="X30" s="83">
        <f t="shared" si="12"/>
        <v>161</v>
      </c>
      <c r="Y30" s="83">
        <f t="shared" si="12"/>
        <v>190</v>
      </c>
      <c r="Z30" s="83">
        <f t="shared" si="12"/>
        <v>173</v>
      </c>
      <c r="AA30" s="83">
        <f t="shared" si="12"/>
        <v>199</v>
      </c>
    </row>
    <row r="31" spans="2:27" ht="12.75" customHeight="1" x14ac:dyDescent="0.2">
      <c r="B31" s="54"/>
      <c r="C31" s="54"/>
      <c r="D31" s="54"/>
      <c r="E31" s="56"/>
      <c r="F31" s="56"/>
      <c r="G31" s="56"/>
      <c r="H31" s="56"/>
      <c r="I31" s="56"/>
      <c r="J31" s="56"/>
      <c r="K31" s="56"/>
      <c r="L31" s="60"/>
      <c r="M31" s="61"/>
      <c r="O31" s="18"/>
      <c r="P31" s="198" t="s">
        <v>33</v>
      </c>
      <c r="Q31" s="18"/>
      <c r="R31" s="83">
        <f t="shared" ref="R31:AA31" si="13">VLOOKUP(R$8&amp;"AllSex"&amp;"AllEth"&amp;24,agesextable,6,FALSE)</f>
        <v>142</v>
      </c>
      <c r="S31" s="83">
        <f t="shared" si="13"/>
        <v>159</v>
      </c>
      <c r="T31" s="83">
        <f t="shared" si="13"/>
        <v>159</v>
      </c>
      <c r="U31" s="83">
        <f t="shared" si="13"/>
        <v>161</v>
      </c>
      <c r="V31" s="83">
        <f t="shared" si="13"/>
        <v>150</v>
      </c>
      <c r="W31" s="83">
        <f t="shared" si="13"/>
        <v>147</v>
      </c>
      <c r="X31" s="83">
        <f t="shared" si="13"/>
        <v>183</v>
      </c>
      <c r="Y31" s="83">
        <f t="shared" si="13"/>
        <v>165</v>
      </c>
      <c r="Z31" s="83">
        <f t="shared" si="13"/>
        <v>171</v>
      </c>
      <c r="AA31" s="83">
        <f t="shared" si="13"/>
        <v>170</v>
      </c>
    </row>
    <row r="32" spans="2:27" ht="12.75" customHeight="1" x14ac:dyDescent="0.2">
      <c r="B32" s="54"/>
      <c r="C32" s="54"/>
      <c r="D32" s="54"/>
      <c r="E32" s="56"/>
      <c r="F32" s="56"/>
      <c r="G32" s="56"/>
      <c r="H32" s="56"/>
      <c r="I32" s="56"/>
      <c r="J32" s="56"/>
      <c r="K32" s="56"/>
      <c r="L32" s="60"/>
      <c r="M32" s="61"/>
      <c r="O32" s="18"/>
      <c r="P32" s="198" t="s">
        <v>23</v>
      </c>
      <c r="Q32" s="18"/>
      <c r="R32" s="83">
        <f t="shared" ref="R32:AA32" si="14">VLOOKUP(R$8&amp;"AllSex"&amp;"AllEth"&amp;25,agesextable,6,FALSE)</f>
        <v>50</v>
      </c>
      <c r="S32" s="83">
        <f t="shared" si="14"/>
        <v>51</v>
      </c>
      <c r="T32" s="83">
        <f t="shared" si="14"/>
        <v>54</v>
      </c>
      <c r="U32" s="83">
        <f t="shared" si="14"/>
        <v>57</v>
      </c>
      <c r="V32" s="83">
        <f t="shared" si="14"/>
        <v>45</v>
      </c>
      <c r="W32" s="83">
        <f t="shared" si="14"/>
        <v>57</v>
      </c>
      <c r="X32" s="83">
        <f t="shared" si="14"/>
        <v>56</v>
      </c>
      <c r="Y32" s="83">
        <f t="shared" si="14"/>
        <v>60</v>
      </c>
      <c r="Z32" s="83">
        <f t="shared" si="14"/>
        <v>65</v>
      </c>
      <c r="AA32" s="83">
        <f t="shared" si="14"/>
        <v>64</v>
      </c>
    </row>
    <row r="33" spans="2:47" ht="12.75" customHeight="1" x14ac:dyDescent="0.2">
      <c r="B33" s="54"/>
      <c r="C33" s="54"/>
      <c r="D33" s="54"/>
      <c r="E33" s="56"/>
      <c r="F33" s="56"/>
      <c r="G33" s="56"/>
      <c r="H33" s="56"/>
      <c r="I33" s="56"/>
      <c r="J33" s="54"/>
      <c r="K33" s="54"/>
      <c r="L33" s="60"/>
      <c r="M33" s="61"/>
      <c r="O33" s="205"/>
      <c r="P33" s="199"/>
      <c r="Q33" s="204"/>
      <c r="R33" s="263"/>
      <c r="S33" s="263"/>
      <c r="T33" s="263"/>
      <c r="U33" s="263"/>
      <c r="V33" s="263"/>
      <c r="W33" s="263"/>
      <c r="X33" s="263"/>
      <c r="Y33" s="263"/>
      <c r="Z33" s="263"/>
      <c r="AA33" s="263"/>
    </row>
    <row r="34" spans="2:47" ht="12.75" customHeight="1" x14ac:dyDescent="0.2">
      <c r="B34" s="54"/>
      <c r="C34" s="54"/>
      <c r="D34" s="54"/>
      <c r="E34" s="56"/>
      <c r="F34" s="56"/>
      <c r="G34" s="56"/>
      <c r="H34" s="56"/>
      <c r="I34" s="56"/>
      <c r="J34" s="56"/>
      <c r="K34" s="56"/>
      <c r="L34" s="61"/>
      <c r="M34" s="61"/>
      <c r="O34" s="18" t="s">
        <v>17</v>
      </c>
      <c r="P34" s="200" t="s">
        <v>98</v>
      </c>
      <c r="Q34" s="17" t="s">
        <v>18</v>
      </c>
      <c r="R34" s="83">
        <f t="shared" ref="R34:AA34" si="15">VLOOKUP(R$8&amp;"Male"&amp;"AllEth"&amp;22,agesextable,6,FALSE)</f>
        <v>71</v>
      </c>
      <c r="S34" s="83">
        <f t="shared" si="15"/>
        <v>83</v>
      </c>
      <c r="T34" s="83">
        <f t="shared" si="15"/>
        <v>95</v>
      </c>
      <c r="U34" s="83">
        <f t="shared" si="15"/>
        <v>77</v>
      </c>
      <c r="V34" s="83">
        <f t="shared" si="15"/>
        <v>96</v>
      </c>
      <c r="W34" s="83">
        <f t="shared" si="15"/>
        <v>107</v>
      </c>
      <c r="X34" s="83">
        <f t="shared" si="15"/>
        <v>73</v>
      </c>
      <c r="Y34" s="83">
        <f t="shared" si="15"/>
        <v>68</v>
      </c>
      <c r="Z34" s="83">
        <f t="shared" si="15"/>
        <v>70</v>
      </c>
      <c r="AA34" s="83">
        <f t="shared" si="15"/>
        <v>86</v>
      </c>
    </row>
    <row r="35" spans="2:47" ht="12.75" customHeight="1" x14ac:dyDescent="0.2">
      <c r="B35" s="54"/>
      <c r="C35" s="54"/>
      <c r="D35" s="54"/>
      <c r="E35" s="56"/>
      <c r="F35" s="56"/>
      <c r="G35" s="56"/>
      <c r="H35" s="56"/>
      <c r="I35" s="56"/>
      <c r="J35" s="56"/>
      <c r="K35" s="56"/>
      <c r="L35" s="61"/>
      <c r="M35" s="61"/>
      <c r="O35" s="18"/>
      <c r="P35" s="198" t="s">
        <v>32</v>
      </c>
      <c r="Q35" s="18"/>
      <c r="R35" s="83">
        <f t="shared" ref="R35:AA35" si="16">VLOOKUP(R$8&amp;"Male"&amp;"AllEth"&amp;23,agesextable,6,FALSE)</f>
        <v>165</v>
      </c>
      <c r="S35" s="83">
        <f t="shared" si="16"/>
        <v>133</v>
      </c>
      <c r="T35" s="83">
        <f t="shared" si="16"/>
        <v>132</v>
      </c>
      <c r="U35" s="83">
        <f t="shared" si="16"/>
        <v>146</v>
      </c>
      <c r="V35" s="83">
        <f t="shared" si="16"/>
        <v>130</v>
      </c>
      <c r="W35" s="83">
        <f t="shared" si="16"/>
        <v>143</v>
      </c>
      <c r="X35" s="83">
        <f t="shared" si="16"/>
        <v>114</v>
      </c>
      <c r="Y35" s="83">
        <f t="shared" si="16"/>
        <v>140</v>
      </c>
      <c r="Z35" s="83">
        <f t="shared" si="16"/>
        <v>137</v>
      </c>
      <c r="AA35" s="83">
        <f t="shared" si="16"/>
        <v>142</v>
      </c>
    </row>
    <row r="36" spans="2:47" ht="12.75" customHeight="1" x14ac:dyDescent="0.2">
      <c r="B36" s="54"/>
      <c r="C36" s="54"/>
      <c r="D36" s="54"/>
      <c r="E36" s="56"/>
      <c r="F36" s="56"/>
      <c r="G36" s="56"/>
      <c r="H36" s="56"/>
      <c r="I36" s="56"/>
      <c r="J36" s="56"/>
      <c r="K36" s="56"/>
      <c r="L36" s="61"/>
      <c r="M36" s="61"/>
      <c r="O36" s="18"/>
      <c r="P36" s="200" t="s">
        <v>33</v>
      </c>
      <c r="Q36" s="18"/>
      <c r="R36" s="83">
        <f t="shared" ref="R36:AA36" si="17">VLOOKUP(R$8&amp;"Male"&amp;"AllEth"&amp;24,agesextable,6,FALSE)</f>
        <v>102</v>
      </c>
      <c r="S36" s="83">
        <f t="shared" si="17"/>
        <v>125</v>
      </c>
      <c r="T36" s="83">
        <f t="shared" si="17"/>
        <v>120</v>
      </c>
      <c r="U36" s="83">
        <f t="shared" si="17"/>
        <v>118</v>
      </c>
      <c r="V36" s="83">
        <f t="shared" si="17"/>
        <v>117</v>
      </c>
      <c r="W36" s="83">
        <f t="shared" si="17"/>
        <v>105</v>
      </c>
      <c r="X36" s="83">
        <f t="shared" si="17"/>
        <v>130</v>
      </c>
      <c r="Y36" s="83">
        <f t="shared" si="17"/>
        <v>120</v>
      </c>
      <c r="Z36" s="83">
        <f t="shared" si="17"/>
        <v>125</v>
      </c>
      <c r="AA36" s="83">
        <f t="shared" si="17"/>
        <v>127</v>
      </c>
    </row>
    <row r="37" spans="2:47" ht="12.75" customHeight="1" x14ac:dyDescent="0.2">
      <c r="B37" s="54"/>
      <c r="C37" s="54"/>
      <c r="D37" s="54"/>
      <c r="E37" s="56"/>
      <c r="F37" s="56"/>
      <c r="G37" s="56"/>
      <c r="H37" s="56"/>
      <c r="I37" s="56"/>
      <c r="J37" s="56"/>
      <c r="K37" s="56"/>
      <c r="L37" s="61"/>
      <c r="M37" s="61"/>
      <c r="O37" s="18"/>
      <c r="P37" s="198" t="s">
        <v>23</v>
      </c>
      <c r="Q37" s="18"/>
      <c r="R37" s="83">
        <f t="shared" ref="R37:AA37" si="18">VLOOKUP(R$8&amp;"Male"&amp;"AllEth"&amp;25,agesextable,6,FALSE)</f>
        <v>42</v>
      </c>
      <c r="S37" s="83">
        <f t="shared" si="18"/>
        <v>36</v>
      </c>
      <c r="T37" s="83">
        <f t="shared" si="18"/>
        <v>41</v>
      </c>
      <c r="U37" s="83">
        <f t="shared" si="18"/>
        <v>43</v>
      </c>
      <c r="V37" s="83">
        <f t="shared" si="18"/>
        <v>31</v>
      </c>
      <c r="W37" s="83">
        <f t="shared" si="18"/>
        <v>43</v>
      </c>
      <c r="X37" s="83">
        <f t="shared" si="18"/>
        <v>48</v>
      </c>
      <c r="Y37" s="83">
        <f t="shared" si="18"/>
        <v>49</v>
      </c>
      <c r="Z37" s="83">
        <f t="shared" si="18"/>
        <v>49</v>
      </c>
      <c r="AA37" s="83">
        <f t="shared" si="18"/>
        <v>52</v>
      </c>
    </row>
    <row r="38" spans="2:47" ht="12.75" customHeight="1" x14ac:dyDescent="0.2">
      <c r="B38" s="54"/>
      <c r="C38" s="54"/>
      <c r="D38" s="54"/>
      <c r="E38" s="56"/>
      <c r="F38" s="56"/>
      <c r="G38" s="56"/>
      <c r="H38" s="56"/>
      <c r="I38" s="56"/>
      <c r="J38" s="56"/>
      <c r="K38" s="56"/>
      <c r="L38" s="61"/>
      <c r="M38" s="61"/>
      <c r="O38" s="205"/>
      <c r="P38" s="201"/>
      <c r="Q38" s="205"/>
      <c r="R38" s="262"/>
      <c r="S38" s="262"/>
      <c r="T38" s="262"/>
      <c r="U38" s="262"/>
      <c r="V38" s="262"/>
      <c r="W38" s="262"/>
      <c r="X38" s="262"/>
      <c r="Y38" s="262"/>
      <c r="Z38" s="262"/>
      <c r="AA38" s="262"/>
    </row>
    <row r="39" spans="2:47" ht="12.75" customHeight="1" x14ac:dyDescent="0.2">
      <c r="B39" s="54"/>
      <c r="C39" s="54"/>
      <c r="D39" s="54"/>
      <c r="E39" s="56"/>
      <c r="F39" s="56"/>
      <c r="G39" s="56"/>
      <c r="H39" s="56"/>
      <c r="I39" s="56"/>
      <c r="J39" s="56"/>
      <c r="K39" s="56"/>
      <c r="L39" s="61"/>
      <c r="M39" s="61"/>
      <c r="O39" s="18" t="s">
        <v>5</v>
      </c>
      <c r="P39" s="200" t="s">
        <v>98</v>
      </c>
      <c r="Q39" s="18" t="s">
        <v>18</v>
      </c>
      <c r="R39" s="83">
        <f t="shared" ref="R39:AA39" si="19">VLOOKUP(R$8&amp;"Female"&amp;"AllEth"&amp;22,agesextable,6,FALSE)</f>
        <v>23</v>
      </c>
      <c r="S39" s="83">
        <f t="shared" si="19"/>
        <v>38</v>
      </c>
      <c r="T39" s="83">
        <f t="shared" si="19"/>
        <v>21</v>
      </c>
      <c r="U39" s="83">
        <f t="shared" si="19"/>
        <v>34</v>
      </c>
      <c r="V39" s="83">
        <f t="shared" si="19"/>
        <v>34</v>
      </c>
      <c r="W39" s="83">
        <f t="shared" si="19"/>
        <v>41</v>
      </c>
      <c r="X39" s="83">
        <f t="shared" si="19"/>
        <v>38</v>
      </c>
      <c r="Y39" s="83">
        <f t="shared" si="19"/>
        <v>21</v>
      </c>
      <c r="Z39" s="83">
        <f t="shared" si="19"/>
        <v>41</v>
      </c>
      <c r="AA39" s="83">
        <f t="shared" si="19"/>
        <v>26</v>
      </c>
    </row>
    <row r="40" spans="2:47" ht="12.75" customHeight="1" x14ac:dyDescent="0.2">
      <c r="B40" s="54"/>
      <c r="C40" s="55" t="s">
        <v>68</v>
      </c>
      <c r="D40" s="55" t="s">
        <v>70</v>
      </c>
      <c r="E40" s="56"/>
      <c r="F40" s="56"/>
      <c r="G40" s="56"/>
      <c r="H40" s="56"/>
      <c r="I40" s="56"/>
      <c r="J40" s="56"/>
      <c r="K40" s="56"/>
      <c r="L40" s="61"/>
      <c r="M40" s="61"/>
      <c r="O40" s="18"/>
      <c r="P40" s="198" t="s">
        <v>32</v>
      </c>
      <c r="Q40" s="18"/>
      <c r="R40" s="83">
        <f t="shared" ref="R40:AA40" si="20">VLOOKUP(R$8&amp;"Female"&amp;"AllEth"&amp;23,agesextable,6,FALSE)</f>
        <v>48</v>
      </c>
      <c r="S40" s="83">
        <f t="shared" si="20"/>
        <v>49</v>
      </c>
      <c r="T40" s="83">
        <f t="shared" si="20"/>
        <v>41</v>
      </c>
      <c r="U40" s="83">
        <f t="shared" si="20"/>
        <v>53</v>
      </c>
      <c r="V40" s="83">
        <f t="shared" si="20"/>
        <v>33</v>
      </c>
      <c r="W40" s="83">
        <f t="shared" si="20"/>
        <v>43</v>
      </c>
      <c r="X40" s="83">
        <f t="shared" si="20"/>
        <v>47</v>
      </c>
      <c r="Y40" s="83">
        <f t="shared" si="20"/>
        <v>50</v>
      </c>
      <c r="Z40" s="83">
        <f t="shared" si="20"/>
        <v>36</v>
      </c>
      <c r="AA40" s="83">
        <f t="shared" si="20"/>
        <v>57</v>
      </c>
    </row>
    <row r="41" spans="2:47" ht="12.75" customHeight="1" x14ac:dyDescent="0.2">
      <c r="B41" s="54"/>
      <c r="C41" s="55" t="s">
        <v>95</v>
      </c>
      <c r="D41" s="55" t="s">
        <v>96</v>
      </c>
      <c r="E41" s="54"/>
      <c r="F41" s="54"/>
      <c r="G41" s="56"/>
      <c r="H41" s="56"/>
      <c r="I41" s="56"/>
      <c r="J41" s="56"/>
      <c r="K41" s="56"/>
      <c r="L41" s="61"/>
      <c r="M41" s="61"/>
      <c r="O41" s="18"/>
      <c r="P41" s="200" t="s">
        <v>33</v>
      </c>
      <c r="Q41" s="17"/>
      <c r="R41" s="83">
        <f t="shared" ref="R41:AA41" si="21">VLOOKUP(R$8&amp;"Female"&amp;"AllEth"&amp;24,agesextable,6,FALSE)</f>
        <v>40</v>
      </c>
      <c r="S41" s="83">
        <f t="shared" si="21"/>
        <v>34</v>
      </c>
      <c r="T41" s="83">
        <f t="shared" si="21"/>
        <v>39</v>
      </c>
      <c r="U41" s="83">
        <f t="shared" si="21"/>
        <v>43</v>
      </c>
      <c r="V41" s="83">
        <f t="shared" si="21"/>
        <v>33</v>
      </c>
      <c r="W41" s="83">
        <f t="shared" si="21"/>
        <v>42</v>
      </c>
      <c r="X41" s="83">
        <f t="shared" si="21"/>
        <v>53</v>
      </c>
      <c r="Y41" s="83">
        <f t="shared" si="21"/>
        <v>45</v>
      </c>
      <c r="Z41" s="83">
        <f t="shared" si="21"/>
        <v>46</v>
      </c>
      <c r="AA41" s="83">
        <f t="shared" si="21"/>
        <v>43</v>
      </c>
    </row>
    <row r="42" spans="2:47" ht="12.75" customHeight="1" x14ac:dyDescent="0.2">
      <c r="B42" s="54"/>
      <c r="C42" s="54"/>
      <c r="D42" s="54"/>
      <c r="E42" s="54"/>
      <c r="F42" s="54"/>
      <c r="G42" s="56"/>
      <c r="H42" s="54"/>
      <c r="I42" s="54"/>
      <c r="J42" s="54"/>
      <c r="K42" s="54"/>
      <c r="L42" s="60"/>
      <c r="M42" s="61"/>
      <c r="O42" s="18"/>
      <c r="P42" s="198" t="s">
        <v>23</v>
      </c>
      <c r="Q42" s="18"/>
      <c r="R42" s="83">
        <f t="shared" ref="R42:AA42" si="22">VLOOKUP(R$8&amp;"Female"&amp;"AllEth"&amp;25,agesextable,6,FALSE)</f>
        <v>8</v>
      </c>
      <c r="S42" s="83">
        <f t="shared" si="22"/>
        <v>15</v>
      </c>
      <c r="T42" s="83">
        <f t="shared" si="22"/>
        <v>13</v>
      </c>
      <c r="U42" s="83">
        <f t="shared" si="22"/>
        <v>14</v>
      </c>
      <c r="V42" s="83">
        <f t="shared" si="22"/>
        <v>14</v>
      </c>
      <c r="W42" s="83">
        <f t="shared" si="22"/>
        <v>14</v>
      </c>
      <c r="X42" s="83">
        <f t="shared" si="22"/>
        <v>8</v>
      </c>
      <c r="Y42" s="83">
        <f t="shared" si="22"/>
        <v>11</v>
      </c>
      <c r="Z42" s="83">
        <f t="shared" si="22"/>
        <v>16</v>
      </c>
      <c r="AA42" s="83">
        <f t="shared" si="22"/>
        <v>12</v>
      </c>
    </row>
    <row r="43" spans="2:47" ht="12.75" customHeight="1" x14ac:dyDescent="0.2">
      <c r="O43" s="205"/>
      <c r="P43" s="201"/>
      <c r="Q43" s="205"/>
      <c r="R43" s="262"/>
      <c r="S43" s="262"/>
      <c r="T43" s="262"/>
      <c r="U43" s="262"/>
      <c r="V43" s="262"/>
      <c r="W43" s="262"/>
      <c r="X43" s="262"/>
      <c r="Y43" s="262"/>
      <c r="Z43" s="262"/>
      <c r="AA43" s="262"/>
      <c r="AB43" s="49"/>
    </row>
    <row r="44" spans="2:47" ht="12.75" customHeight="1" x14ac:dyDescent="0.2">
      <c r="B44" s="54"/>
      <c r="C44" s="54"/>
      <c r="D44" s="54"/>
      <c r="E44" s="54"/>
      <c r="F44" s="54"/>
      <c r="G44" s="54"/>
      <c r="H44" s="54"/>
      <c r="I44" s="54"/>
      <c r="J44" s="56"/>
      <c r="K44" s="56"/>
      <c r="L44" s="61"/>
      <c r="M44" s="61"/>
      <c r="O44" s="18" t="s">
        <v>0</v>
      </c>
      <c r="P44" s="198" t="s">
        <v>98</v>
      </c>
      <c r="Q44" s="18" t="s">
        <v>19</v>
      </c>
      <c r="R44" s="84">
        <f t="shared" ref="R44:AA44" si="23">VLOOKUP(R$8&amp;"AllSex"&amp;"AllEth"&amp;22,agesextable,7,FALSE)</f>
        <v>15.499274502044599</v>
      </c>
      <c r="S44" s="84">
        <f t="shared" si="23"/>
        <v>19.949549074242</v>
      </c>
      <c r="T44" s="84">
        <f t="shared" si="23"/>
        <v>19.004554539794899</v>
      </c>
      <c r="U44" s="84">
        <f t="shared" si="23"/>
        <v>17.966397979994198</v>
      </c>
      <c r="V44" s="84">
        <f t="shared" si="23"/>
        <v>20.876156217882802</v>
      </c>
      <c r="W44" s="84">
        <f t="shared" si="23"/>
        <v>23.7019954517793</v>
      </c>
      <c r="X44" s="84">
        <f t="shared" si="23"/>
        <v>17.659692944077602</v>
      </c>
      <c r="Y44" s="84">
        <f t="shared" si="23"/>
        <v>13.8953942232631</v>
      </c>
      <c r="Z44" s="84">
        <f t="shared" si="23"/>
        <v>16.906299500426499</v>
      </c>
      <c r="AA44" s="84">
        <f t="shared" si="23"/>
        <v>16.765212184716699</v>
      </c>
      <c r="AB44" s="48"/>
    </row>
    <row r="45" spans="2:47" ht="12.75" customHeight="1" x14ac:dyDescent="0.25">
      <c r="B45" s="54"/>
      <c r="C45" s="66" t="s">
        <v>251</v>
      </c>
      <c r="D45" s="54"/>
      <c r="E45" s="54"/>
      <c r="F45" s="54"/>
      <c r="G45" s="54"/>
      <c r="H45" s="54"/>
      <c r="I45" s="54"/>
      <c r="J45" s="54"/>
      <c r="K45" s="54"/>
      <c r="L45" s="54"/>
      <c r="M45" s="61"/>
      <c r="O45" s="18"/>
      <c r="P45" s="198" t="s">
        <v>32</v>
      </c>
      <c r="Q45" s="18"/>
      <c r="R45" s="84">
        <f t="shared" ref="R45:AA45" si="24">VLOOKUP(R$8&amp;"AllSex"&amp;"AllEth"&amp;23,agesextable,7,FALSE)</f>
        <v>18.0761233928799</v>
      </c>
      <c r="S45" s="84">
        <f t="shared" si="24"/>
        <v>15.5447937752496</v>
      </c>
      <c r="T45" s="84">
        <f t="shared" si="24"/>
        <v>14.832724591457</v>
      </c>
      <c r="U45" s="84">
        <f t="shared" si="24"/>
        <v>17.109007591584799</v>
      </c>
      <c r="V45" s="84">
        <f t="shared" si="24"/>
        <v>14.112065383017001</v>
      </c>
      <c r="W45" s="84">
        <f t="shared" si="24"/>
        <v>16.230649749559301</v>
      </c>
      <c r="X45" s="84">
        <f t="shared" si="24"/>
        <v>14.073795641494099</v>
      </c>
      <c r="Y45" s="84">
        <f t="shared" si="24"/>
        <v>16.415679565934902</v>
      </c>
      <c r="Z45" s="84">
        <f t="shared" si="24"/>
        <v>14.6091421140189</v>
      </c>
      <c r="AA45" s="84">
        <f t="shared" si="24"/>
        <v>16.318029372452902</v>
      </c>
      <c r="AB45" s="48"/>
      <c r="AD45" s="8"/>
      <c r="AE45" s="8"/>
      <c r="AF45" s="8"/>
      <c r="AG45" s="8"/>
      <c r="AH45" s="8"/>
      <c r="AI45" s="8"/>
      <c r="AJ45" s="8"/>
      <c r="AK45" s="8"/>
      <c r="AL45" s="8"/>
      <c r="AM45" s="8"/>
      <c r="AN45" s="8"/>
      <c r="AO45" s="8"/>
      <c r="AP45" s="8"/>
      <c r="AQ45" s="8"/>
      <c r="AR45" s="8"/>
      <c r="AS45" s="8"/>
      <c r="AT45" s="8"/>
      <c r="AU45" s="8"/>
    </row>
    <row r="46" spans="2:47" ht="12.75" customHeight="1" x14ac:dyDescent="0.2">
      <c r="B46" s="54"/>
      <c r="C46" s="54"/>
      <c r="D46" s="54"/>
      <c r="E46" s="54"/>
      <c r="F46" s="54"/>
      <c r="G46" s="54"/>
      <c r="H46" s="54"/>
      <c r="I46" s="54"/>
      <c r="J46" s="54"/>
      <c r="K46" s="54"/>
      <c r="L46" s="69"/>
      <c r="M46" s="61"/>
      <c r="O46" s="18"/>
      <c r="P46" s="198" t="s">
        <v>33</v>
      </c>
      <c r="Q46" s="18"/>
      <c r="R46" s="84">
        <f t="shared" ref="R46:AA46" si="25">VLOOKUP(R$8&amp;"AllSex"&amp;"AllEth"&amp;24,agesextable,7,FALSE)</f>
        <v>13.8509559110417</v>
      </c>
      <c r="S46" s="84">
        <f t="shared" si="25"/>
        <v>15.090829710901501</v>
      </c>
      <c r="T46" s="84">
        <f t="shared" si="25"/>
        <v>14.740238068750701</v>
      </c>
      <c r="U46" s="84">
        <f t="shared" si="25"/>
        <v>14.628650347998301</v>
      </c>
      <c r="V46" s="84">
        <f t="shared" si="25"/>
        <v>13.4247409025006</v>
      </c>
      <c r="W46" s="84">
        <f t="shared" si="25"/>
        <v>13.0385034991086</v>
      </c>
      <c r="X46" s="84">
        <f t="shared" si="25"/>
        <v>16.0695468914647</v>
      </c>
      <c r="Y46" s="84">
        <f t="shared" si="25"/>
        <v>14.301067813063399</v>
      </c>
      <c r="Z46" s="84">
        <f t="shared" si="25"/>
        <v>14.616134160726199</v>
      </c>
      <c r="AA46" s="84">
        <f t="shared" si="25"/>
        <v>14.3032628266613</v>
      </c>
      <c r="AB46" s="48"/>
      <c r="AC46" s="8"/>
      <c r="AD46" s="11"/>
      <c r="AE46" s="11"/>
      <c r="AF46" s="11"/>
      <c r="AG46" s="11"/>
      <c r="AH46" s="11"/>
      <c r="AI46" s="11"/>
      <c r="AJ46" s="11"/>
      <c r="AK46" s="11"/>
      <c r="AL46" s="11"/>
      <c r="AM46" s="11"/>
      <c r="AN46" s="11"/>
      <c r="AO46" s="11"/>
      <c r="AP46" s="11"/>
      <c r="AQ46" s="11"/>
      <c r="AR46" s="11"/>
      <c r="AS46" s="11"/>
      <c r="AT46" s="11"/>
      <c r="AU46" s="11"/>
    </row>
    <row r="47" spans="2:47" ht="12.75" customHeight="1" x14ac:dyDescent="0.2">
      <c r="B47" s="54"/>
      <c r="C47" s="54"/>
      <c r="D47" s="54"/>
      <c r="E47" s="54"/>
      <c r="F47" s="54"/>
      <c r="G47" s="54"/>
      <c r="H47" s="54"/>
      <c r="I47" s="54"/>
      <c r="J47" s="54"/>
      <c r="K47" s="54"/>
      <c r="L47" s="54"/>
      <c r="M47" s="61"/>
      <c r="O47" s="18"/>
      <c r="P47" s="198" t="s">
        <v>23</v>
      </c>
      <c r="Q47" s="18"/>
      <c r="R47" s="84">
        <f t="shared" ref="R47:AA47" si="26">VLOOKUP(R$8&amp;"AllSex"&amp;"AllEth"&amp;25,agesextable,7,FALSE)</f>
        <v>9.5254424568021197</v>
      </c>
      <c r="S47" s="84">
        <f t="shared" si="26"/>
        <v>9.5243431004538106</v>
      </c>
      <c r="T47" s="84">
        <f t="shared" si="26"/>
        <v>9.8484433988072393</v>
      </c>
      <c r="U47" s="84">
        <f t="shared" si="26"/>
        <v>10.1162481142959</v>
      </c>
      <c r="V47" s="84">
        <f t="shared" si="26"/>
        <v>7.7496684864036398</v>
      </c>
      <c r="W47" s="84">
        <f t="shared" si="26"/>
        <v>9.4530498523997508</v>
      </c>
      <c r="X47" s="84">
        <f t="shared" si="26"/>
        <v>8.9415446518385995</v>
      </c>
      <c r="Y47" s="84">
        <f t="shared" si="26"/>
        <v>9.2238158926347804</v>
      </c>
      <c r="Z47" s="84">
        <f t="shared" si="26"/>
        <v>9.6410560664491296</v>
      </c>
      <c r="AA47" s="84">
        <f t="shared" si="26"/>
        <v>9.1626222279488605</v>
      </c>
      <c r="AB47" s="48"/>
      <c r="AC47" s="11"/>
    </row>
    <row r="48" spans="2:47" ht="12.75" customHeight="1" x14ac:dyDescent="0.2">
      <c r="B48" s="54"/>
      <c r="C48" s="54"/>
      <c r="D48" s="54"/>
      <c r="E48" s="54"/>
      <c r="F48" s="54"/>
      <c r="G48" s="54"/>
      <c r="H48" s="54"/>
      <c r="I48" s="54"/>
      <c r="J48" s="54"/>
      <c r="K48" s="54"/>
      <c r="L48" s="75"/>
      <c r="M48" s="61"/>
      <c r="O48" s="205"/>
      <c r="P48" s="201"/>
      <c r="Q48" s="205"/>
      <c r="R48" s="262"/>
      <c r="S48" s="262"/>
      <c r="T48" s="262"/>
      <c r="U48" s="262"/>
      <c r="V48" s="262"/>
      <c r="W48" s="262"/>
      <c r="X48" s="262"/>
      <c r="Y48" s="262"/>
      <c r="Z48" s="262"/>
      <c r="AA48" s="262"/>
      <c r="AB48" s="48"/>
    </row>
    <row r="49" spans="2:28" ht="12.75" customHeight="1" x14ac:dyDescent="0.2">
      <c r="B49" s="54"/>
      <c r="C49" s="54"/>
      <c r="D49" s="54"/>
      <c r="E49" s="54"/>
      <c r="F49" s="54"/>
      <c r="G49" s="54"/>
      <c r="H49" s="54"/>
      <c r="I49" s="54"/>
      <c r="J49" s="54"/>
      <c r="K49" s="54"/>
      <c r="L49" s="69"/>
      <c r="M49" s="61"/>
      <c r="O49" s="18" t="s">
        <v>17</v>
      </c>
      <c r="P49" s="200" t="s">
        <v>98</v>
      </c>
      <c r="Q49" s="18" t="s">
        <v>19</v>
      </c>
      <c r="R49" s="84">
        <f t="shared" ref="R49:AA49" si="27">VLOOKUP(R$8&amp;"Male"&amp;"AllEth"&amp;22,agesextable,7,FALSE)</f>
        <v>23.2421107764829</v>
      </c>
      <c r="S49" s="84">
        <f t="shared" si="27"/>
        <v>27.1899364476184</v>
      </c>
      <c r="T49" s="84">
        <f t="shared" si="27"/>
        <v>30.900338277387501</v>
      </c>
      <c r="U49" s="84">
        <f t="shared" si="27"/>
        <v>24.6945255123312</v>
      </c>
      <c r="V49" s="84">
        <f t="shared" si="27"/>
        <v>30.454920373072799</v>
      </c>
      <c r="W49" s="84">
        <f t="shared" si="27"/>
        <v>33.785917271866097</v>
      </c>
      <c r="X49" s="84">
        <f t="shared" si="27"/>
        <v>22.8189178206371</v>
      </c>
      <c r="Y49" s="84">
        <f t="shared" si="27"/>
        <v>20.7096086493071</v>
      </c>
      <c r="Z49" s="84">
        <f t="shared" si="27"/>
        <v>20.629494282683002</v>
      </c>
      <c r="AA49" s="84">
        <f t="shared" si="27"/>
        <v>24.838262476894599</v>
      </c>
      <c r="AB49" s="48"/>
    </row>
    <row r="50" spans="2:28" ht="12.75" customHeight="1" x14ac:dyDescent="0.2">
      <c r="B50" s="54"/>
      <c r="C50" s="54"/>
      <c r="D50" s="54"/>
      <c r="E50" s="54"/>
      <c r="F50" s="54"/>
      <c r="G50" s="54"/>
      <c r="H50" s="54"/>
      <c r="I50" s="54"/>
      <c r="J50" s="54"/>
      <c r="K50" s="54"/>
      <c r="L50" s="69"/>
      <c r="M50" s="61"/>
      <c r="O50" s="18"/>
      <c r="P50" s="198" t="s">
        <v>32</v>
      </c>
      <c r="Q50" s="206"/>
      <c r="R50" s="84">
        <f t="shared" ref="R50:AA50" si="28">VLOOKUP(R$8&amp;"Male"&amp;"AllEth"&amp;23,agesextable,7,FALSE)</f>
        <v>29.127756103588901</v>
      </c>
      <c r="S50" s="84">
        <f t="shared" si="28"/>
        <v>23.638140940193701</v>
      </c>
      <c r="T50" s="84">
        <f t="shared" si="28"/>
        <v>23.565116486655398</v>
      </c>
      <c r="U50" s="84">
        <f t="shared" si="28"/>
        <v>26.170033519152501</v>
      </c>
      <c r="V50" s="84">
        <f t="shared" si="28"/>
        <v>23.499213680157599</v>
      </c>
      <c r="W50" s="84">
        <f t="shared" si="28"/>
        <v>26.0701524101218</v>
      </c>
      <c r="X50" s="84">
        <f t="shared" si="28"/>
        <v>20.807476089654699</v>
      </c>
      <c r="Y50" s="84">
        <f t="shared" si="28"/>
        <v>25.150453606395399</v>
      </c>
      <c r="Z50" s="84">
        <f t="shared" si="28"/>
        <v>23.9192681053146</v>
      </c>
      <c r="AA50" s="84">
        <f t="shared" si="28"/>
        <v>23.9351391440659</v>
      </c>
      <c r="AB50" s="48"/>
    </row>
    <row r="51" spans="2:28" ht="12.75" customHeight="1" x14ac:dyDescent="0.2">
      <c r="B51" s="54"/>
      <c r="C51" s="54"/>
      <c r="D51" s="54"/>
      <c r="E51" s="54"/>
      <c r="F51" s="54"/>
      <c r="G51" s="54"/>
      <c r="H51" s="54"/>
      <c r="I51" s="54"/>
      <c r="J51" s="54"/>
      <c r="K51" s="54"/>
      <c r="L51" s="75"/>
      <c r="M51" s="61"/>
      <c r="O51" s="18"/>
      <c r="P51" s="200" t="s">
        <v>33</v>
      </c>
      <c r="Q51" s="206"/>
      <c r="R51" s="84">
        <f t="shared" ref="R51:AA51" si="29">VLOOKUP(R$8&amp;"Male"&amp;"AllEth"&amp;24,agesextable,7,FALSE)</f>
        <v>20.267853594563402</v>
      </c>
      <c r="S51" s="84">
        <f t="shared" si="29"/>
        <v>24.221050999845001</v>
      </c>
      <c r="T51" s="84">
        <f t="shared" si="29"/>
        <v>22.752265746463902</v>
      </c>
      <c r="U51" s="84">
        <f t="shared" si="29"/>
        <v>21.966566141703002</v>
      </c>
      <c r="V51" s="84">
        <f t="shared" si="29"/>
        <v>21.4970786021387</v>
      </c>
      <c r="W51" s="84">
        <f t="shared" si="29"/>
        <v>19.170029028901101</v>
      </c>
      <c r="X51" s="84">
        <f t="shared" si="29"/>
        <v>23.546885471571699</v>
      </c>
      <c r="Y51" s="84">
        <f t="shared" si="29"/>
        <v>21.489971346704898</v>
      </c>
      <c r="Z51" s="84">
        <f t="shared" si="29"/>
        <v>22.1094150733148</v>
      </c>
      <c r="AA51" s="84">
        <f t="shared" si="29"/>
        <v>22.152064328199401</v>
      </c>
      <c r="AB51" s="48"/>
    </row>
    <row r="52" spans="2:28" ht="12.75" customHeight="1" x14ac:dyDescent="0.2">
      <c r="B52" s="54"/>
      <c r="C52" s="54"/>
      <c r="D52" s="54"/>
      <c r="E52" s="54"/>
      <c r="F52" s="54"/>
      <c r="G52" s="54"/>
      <c r="H52" s="54"/>
      <c r="I52" s="54"/>
      <c r="J52" s="54"/>
      <c r="K52" s="54"/>
      <c r="L52" s="54"/>
      <c r="M52" s="61"/>
      <c r="O52" s="18"/>
      <c r="P52" s="198" t="s">
        <v>23</v>
      </c>
      <c r="Q52" s="206"/>
      <c r="R52" s="84">
        <f t="shared" ref="R52:AA52" si="30">VLOOKUP(R$8&amp;"Male"&amp;"AllEth"&amp;25,agesextable,7,FALSE)</f>
        <v>17.793594306049801</v>
      </c>
      <c r="S52" s="84">
        <f t="shared" si="30"/>
        <v>14.890800794176</v>
      </c>
      <c r="T52" s="84">
        <f t="shared" si="30"/>
        <v>16.489703989704001</v>
      </c>
      <c r="U52" s="84">
        <f t="shared" si="30"/>
        <v>16.766093500214399</v>
      </c>
      <c r="V52" s="84">
        <f t="shared" si="30"/>
        <v>11.676082862523501</v>
      </c>
      <c r="W52" s="84">
        <f t="shared" si="30"/>
        <v>15.527389593038</v>
      </c>
      <c r="X52" s="84">
        <f t="shared" si="30"/>
        <v>16.625103906899401</v>
      </c>
      <c r="Y52" s="84">
        <f t="shared" si="30"/>
        <v>16.2817743811264</v>
      </c>
      <c r="Z52" s="84">
        <f t="shared" si="30"/>
        <v>15.671474717753499</v>
      </c>
      <c r="AA52" s="84">
        <f t="shared" si="30"/>
        <v>16.005909874415199</v>
      </c>
      <c r="AB52" s="48"/>
    </row>
    <row r="53" spans="2:28" ht="12.75" customHeight="1" x14ac:dyDescent="0.2">
      <c r="B53" s="54"/>
      <c r="C53" s="54"/>
      <c r="D53" s="54"/>
      <c r="E53" s="54"/>
      <c r="F53" s="54"/>
      <c r="G53" s="54"/>
      <c r="H53" s="54"/>
      <c r="I53" s="54"/>
      <c r="J53" s="54"/>
      <c r="K53" s="54"/>
      <c r="L53" s="75"/>
      <c r="M53" s="61"/>
      <c r="O53" s="205"/>
      <c r="P53" s="201"/>
      <c r="Q53" s="204"/>
      <c r="R53" s="262"/>
      <c r="S53" s="262"/>
      <c r="T53" s="262"/>
      <c r="U53" s="262"/>
      <c r="V53" s="262"/>
      <c r="W53" s="262"/>
      <c r="X53" s="262"/>
      <c r="Y53" s="262"/>
      <c r="Z53" s="262"/>
      <c r="AA53" s="262"/>
      <c r="AB53" s="48"/>
    </row>
    <row r="54" spans="2:28" ht="12.75" customHeight="1" x14ac:dyDescent="0.2">
      <c r="B54" s="54"/>
      <c r="C54" s="54"/>
      <c r="D54" s="54"/>
      <c r="E54" s="54"/>
      <c r="F54" s="54"/>
      <c r="G54" s="54"/>
      <c r="H54" s="54"/>
      <c r="I54" s="54"/>
      <c r="J54" s="54"/>
      <c r="K54" s="54"/>
      <c r="L54" s="69"/>
      <c r="M54" s="61"/>
      <c r="O54" s="18" t="s">
        <v>5</v>
      </c>
      <c r="P54" s="200" t="s">
        <v>98</v>
      </c>
      <c r="Q54" s="18" t="s">
        <v>19</v>
      </c>
      <c r="R54" s="84">
        <f t="shared" ref="R54:AA54" si="31">VLOOKUP(R$8&amp;"Female"&amp;"AllEth"&amp;22,agesextable,7,FALSE)</f>
        <v>7.64119601328904</v>
      </c>
      <c r="S54" s="84">
        <f t="shared" si="31"/>
        <v>12.6132704882663</v>
      </c>
      <c r="T54" s="84">
        <f t="shared" si="31"/>
        <v>6.9318369367882502</v>
      </c>
      <c r="U54" s="84">
        <f t="shared" si="31"/>
        <v>11.1103849421606</v>
      </c>
      <c r="V54" s="84">
        <f t="shared" si="31"/>
        <v>11.056551006471301</v>
      </c>
      <c r="W54" s="84">
        <f t="shared" si="31"/>
        <v>13.3238008579228</v>
      </c>
      <c r="X54" s="84">
        <f t="shared" si="31"/>
        <v>12.3120787973043</v>
      </c>
      <c r="Y54" s="84">
        <f t="shared" si="31"/>
        <v>6.7275348390197003</v>
      </c>
      <c r="Z54" s="84">
        <f t="shared" si="31"/>
        <v>12.9239692346488</v>
      </c>
      <c r="AA54" s="84">
        <f t="shared" si="31"/>
        <v>8.07930145116684</v>
      </c>
      <c r="AB54" s="48"/>
    </row>
    <row r="55" spans="2:28" ht="12.75" customHeight="1" x14ac:dyDescent="0.2">
      <c r="B55" s="54"/>
      <c r="C55" s="54"/>
      <c r="D55" s="54"/>
      <c r="E55" s="54"/>
      <c r="F55" s="54"/>
      <c r="G55" s="54"/>
      <c r="H55" s="54"/>
      <c r="I55" s="54"/>
      <c r="J55" s="54"/>
      <c r="K55" s="54"/>
      <c r="L55" s="75"/>
      <c r="M55" s="61"/>
      <c r="O55" s="206"/>
      <c r="P55" s="198" t="s">
        <v>32</v>
      </c>
      <c r="Q55" s="206"/>
      <c r="R55" s="84">
        <f t="shared" ref="R55:AA55" si="32">VLOOKUP(R$8&amp;"Female"&amp;"AllEth"&amp;23,agesextable,7,FALSE)</f>
        <v>7.8448036347590202</v>
      </c>
      <c r="S55" s="84">
        <f t="shared" si="32"/>
        <v>8.05722272465675</v>
      </c>
      <c r="T55" s="84">
        <f t="shared" si="32"/>
        <v>6.7636675574911704</v>
      </c>
      <c r="U55" s="84">
        <f t="shared" si="32"/>
        <v>8.7568567840856506</v>
      </c>
      <c r="V55" s="84">
        <f t="shared" si="32"/>
        <v>5.4831848996410999</v>
      </c>
      <c r="W55" s="84">
        <f t="shared" si="32"/>
        <v>7.1972550004184503</v>
      </c>
      <c r="X55" s="84">
        <f t="shared" si="32"/>
        <v>7.8847153953262099</v>
      </c>
      <c r="Y55" s="84">
        <f t="shared" si="32"/>
        <v>8.3223755388738194</v>
      </c>
      <c r="Z55" s="84">
        <f t="shared" si="32"/>
        <v>5.8878367106618903</v>
      </c>
      <c r="AA55" s="84">
        <f t="shared" si="32"/>
        <v>9.1020870926017601</v>
      </c>
      <c r="AB55" s="48"/>
    </row>
    <row r="56" spans="2:28" ht="12.75" customHeight="1" x14ac:dyDescent="0.2">
      <c r="B56" s="54"/>
      <c r="C56" s="54"/>
      <c r="D56" s="54"/>
      <c r="E56" s="54"/>
      <c r="F56" s="54"/>
      <c r="G56" s="54"/>
      <c r="H56" s="54"/>
      <c r="I56" s="54"/>
      <c r="J56" s="54"/>
      <c r="K56" s="54"/>
      <c r="L56" s="69"/>
      <c r="M56" s="61"/>
      <c r="O56" s="18"/>
      <c r="P56" s="200" t="s">
        <v>33</v>
      </c>
      <c r="Q56" s="18"/>
      <c r="R56" s="84">
        <f t="shared" ref="R56:AA56" si="33">VLOOKUP(R$8&amp;"Female"&amp;"AllEth"&amp;24,agesextable,7,FALSE)</f>
        <v>7.6637161359543198</v>
      </c>
      <c r="S56" s="84">
        <f t="shared" si="33"/>
        <v>6.3251106894370697</v>
      </c>
      <c r="T56" s="84">
        <f t="shared" si="33"/>
        <v>7.0749582758870897</v>
      </c>
      <c r="U56" s="84">
        <f t="shared" si="33"/>
        <v>7.6322328718494896</v>
      </c>
      <c r="V56" s="84">
        <f t="shared" si="33"/>
        <v>5.7582578652567697</v>
      </c>
      <c r="W56" s="84">
        <f t="shared" si="33"/>
        <v>7.2452517724990901</v>
      </c>
      <c r="X56" s="84">
        <f t="shared" si="33"/>
        <v>9.0334236675700108</v>
      </c>
      <c r="Y56" s="84">
        <f t="shared" si="33"/>
        <v>7.5585789871504199</v>
      </c>
      <c r="Z56" s="84">
        <f t="shared" si="33"/>
        <v>7.6087136311758803</v>
      </c>
      <c r="AA56" s="84">
        <f t="shared" si="33"/>
        <v>6.9892560505827097</v>
      </c>
      <c r="AB56" s="48"/>
    </row>
    <row r="57" spans="2:28" ht="12.75" customHeight="1" x14ac:dyDescent="0.2">
      <c r="B57" s="54"/>
      <c r="C57" s="54"/>
      <c r="D57" s="54"/>
      <c r="E57" s="54"/>
      <c r="F57" s="54"/>
      <c r="G57" s="54"/>
      <c r="H57" s="54"/>
      <c r="I57" s="54"/>
      <c r="J57" s="54"/>
      <c r="K57" s="54"/>
      <c r="L57" s="75"/>
      <c r="M57" s="61"/>
      <c r="O57" s="18"/>
      <c r="P57" s="198" t="s">
        <v>23</v>
      </c>
      <c r="Q57" s="18"/>
      <c r="R57" s="84">
        <f t="shared" ref="R57:AA57" si="34">VLOOKUP(R$8&amp;"Female"&amp;"AllEth"&amp;25,agesextable,7,FALSE)</f>
        <v>2.7696036004846798</v>
      </c>
      <c r="S57" s="84">
        <f t="shared" si="34"/>
        <v>5.1070784106772003</v>
      </c>
      <c r="T57" s="84">
        <f t="shared" si="34"/>
        <v>4.3381052491073504</v>
      </c>
      <c r="U57" s="84">
        <f t="shared" si="34"/>
        <v>4.5607062579405104</v>
      </c>
      <c r="V57" s="84">
        <f t="shared" si="34"/>
        <v>4.4406381831446096</v>
      </c>
      <c r="W57" s="84">
        <f t="shared" si="34"/>
        <v>4.2935565982764397</v>
      </c>
      <c r="X57" s="84">
        <f t="shared" si="34"/>
        <v>2.36987883994431</v>
      </c>
      <c r="Y57" s="84">
        <f t="shared" si="34"/>
        <v>3.1469931910511</v>
      </c>
      <c r="Z57" s="84">
        <f t="shared" si="34"/>
        <v>4.42575791104227</v>
      </c>
      <c r="AA57" s="84">
        <f t="shared" si="34"/>
        <v>3.2110459982339199</v>
      </c>
      <c r="AB57" s="48"/>
    </row>
    <row r="58" spans="2:28" ht="12.75" customHeight="1" x14ac:dyDescent="0.2">
      <c r="B58" s="54"/>
      <c r="C58" s="54"/>
      <c r="D58" s="54"/>
      <c r="E58" s="54"/>
      <c r="F58" s="54"/>
      <c r="G58" s="54"/>
      <c r="H58" s="54"/>
      <c r="I58" s="54"/>
      <c r="J58" s="54"/>
      <c r="K58" s="54"/>
      <c r="L58" s="75"/>
      <c r="M58" s="61"/>
      <c r="O58" s="207"/>
      <c r="P58" s="202"/>
      <c r="Q58" s="207"/>
      <c r="R58" s="264"/>
      <c r="S58" s="264"/>
      <c r="T58" s="264"/>
      <c r="U58" s="264"/>
      <c r="V58" s="264"/>
      <c r="W58" s="264"/>
      <c r="X58" s="264"/>
      <c r="Y58" s="264"/>
      <c r="Z58" s="264"/>
      <c r="AA58" s="264"/>
    </row>
    <row r="59" spans="2:28" ht="12.75" customHeight="1" x14ac:dyDescent="0.2">
      <c r="B59" s="54"/>
      <c r="C59" s="54"/>
      <c r="D59" s="54"/>
      <c r="E59" s="54"/>
      <c r="F59" s="54"/>
      <c r="G59" s="54"/>
      <c r="H59" s="54"/>
      <c r="I59" s="54"/>
      <c r="J59" s="54"/>
      <c r="K59" s="54"/>
      <c r="L59" s="69"/>
      <c r="M59" s="61"/>
      <c r="O59" s="17" t="s">
        <v>92</v>
      </c>
      <c r="P59" s="203" t="s">
        <v>98</v>
      </c>
      <c r="Q59" s="17" t="s">
        <v>73</v>
      </c>
      <c r="R59" s="84">
        <f t="shared" ref="R59:AA59" si="35">R49/R54</f>
        <v>3.0416849320527608</v>
      </c>
      <c r="S59" s="84">
        <f t="shared" si="35"/>
        <v>2.1556610930457949</v>
      </c>
      <c r="T59" s="84">
        <f t="shared" si="35"/>
        <v>4.4577416576831155</v>
      </c>
      <c r="U59" s="84">
        <f t="shared" si="35"/>
        <v>2.222652558024595</v>
      </c>
      <c r="V59" s="84">
        <f t="shared" si="35"/>
        <v>2.7544684011540133</v>
      </c>
      <c r="W59" s="84">
        <f t="shared" si="35"/>
        <v>2.5357566982679574</v>
      </c>
      <c r="X59" s="84">
        <f t="shared" si="35"/>
        <v>1.8533765253056411</v>
      </c>
      <c r="Y59" s="84">
        <f t="shared" si="35"/>
        <v>3.0783353999434349</v>
      </c>
      <c r="Z59" s="84">
        <f t="shared" si="35"/>
        <v>1.5962196990825315</v>
      </c>
      <c r="AA59" s="84">
        <f t="shared" si="35"/>
        <v>3.0743081721882493</v>
      </c>
    </row>
    <row r="60" spans="2:28" ht="12.75" customHeight="1" x14ac:dyDescent="0.2">
      <c r="B60" s="54"/>
      <c r="C60" s="54"/>
      <c r="D60" s="54"/>
      <c r="E60" s="54"/>
      <c r="F60" s="54"/>
      <c r="G60" s="54"/>
      <c r="H60" s="54"/>
      <c r="I60" s="54"/>
      <c r="J60" s="54"/>
      <c r="K60" s="54"/>
      <c r="L60" s="75"/>
      <c r="M60" s="61"/>
      <c r="O60" s="10"/>
      <c r="P60" s="203" t="s">
        <v>32</v>
      </c>
      <c r="Q60" s="9"/>
      <c r="R60" s="84">
        <f t="shared" ref="R60:AA60" si="36">R50/R55</f>
        <v>3.713000026479778</v>
      </c>
      <c r="S60" s="84">
        <f t="shared" si="36"/>
        <v>2.9337827373017942</v>
      </c>
      <c r="T60" s="84">
        <f t="shared" si="36"/>
        <v>3.4840737346050679</v>
      </c>
      <c r="U60" s="84">
        <f t="shared" si="36"/>
        <v>2.9885190730437476</v>
      </c>
      <c r="V60" s="84">
        <f t="shared" si="36"/>
        <v>4.2856868973533491</v>
      </c>
      <c r="W60" s="84">
        <f t="shared" si="36"/>
        <v>3.6222354784714552</v>
      </c>
      <c r="X60" s="84">
        <f t="shared" si="36"/>
        <v>2.6389634941026103</v>
      </c>
      <c r="Y60" s="84">
        <f t="shared" si="36"/>
        <v>3.0220282044372571</v>
      </c>
      <c r="Z60" s="84">
        <f t="shared" si="36"/>
        <v>4.0624883604534743</v>
      </c>
      <c r="AA60" s="84">
        <f t="shared" si="36"/>
        <v>2.6296319624891908</v>
      </c>
    </row>
    <row r="61" spans="2:28" ht="12.75" customHeight="1" x14ac:dyDescent="0.2">
      <c r="B61" s="54"/>
      <c r="C61" s="54"/>
      <c r="D61" s="54"/>
      <c r="E61" s="54"/>
      <c r="F61" s="54"/>
      <c r="G61" s="54"/>
      <c r="H61" s="54"/>
      <c r="I61" s="54"/>
      <c r="J61" s="54"/>
      <c r="K61" s="54"/>
      <c r="L61" s="69"/>
      <c r="M61" s="61"/>
      <c r="O61" s="10"/>
      <c r="P61" s="203" t="s">
        <v>33</v>
      </c>
      <c r="Q61" s="9"/>
      <c r="R61" s="84">
        <f t="shared" ref="R61:AA61" si="37">R51/R56</f>
        <v>2.6446508762866072</v>
      </c>
      <c r="S61" s="84">
        <f t="shared" si="37"/>
        <v>3.8293481630754922</v>
      </c>
      <c r="T61" s="84">
        <f t="shared" si="37"/>
        <v>3.2158869154053238</v>
      </c>
      <c r="U61" s="84">
        <f t="shared" si="37"/>
        <v>2.87813101493848</v>
      </c>
      <c r="V61" s="84">
        <f t="shared" si="37"/>
        <v>3.7332608412423212</v>
      </c>
      <c r="W61" s="84">
        <f t="shared" si="37"/>
        <v>2.6458747923246873</v>
      </c>
      <c r="X61" s="84">
        <f t="shared" si="37"/>
        <v>2.6066402217029867</v>
      </c>
      <c r="Y61" s="84">
        <f t="shared" si="37"/>
        <v>2.8431232091690566</v>
      </c>
      <c r="Z61" s="84">
        <f t="shared" si="37"/>
        <v>2.9058019719291135</v>
      </c>
      <c r="AA61" s="84">
        <f t="shared" si="37"/>
        <v>3.1694452410786318</v>
      </c>
    </row>
    <row r="62" spans="2:28" ht="12.75" customHeight="1" x14ac:dyDescent="0.2">
      <c r="B62" s="54"/>
      <c r="C62" s="54"/>
      <c r="D62" s="54"/>
      <c r="E62" s="54"/>
      <c r="F62" s="54"/>
      <c r="G62" s="54"/>
      <c r="H62" s="54"/>
      <c r="I62" s="54"/>
      <c r="J62" s="54"/>
      <c r="K62" s="54"/>
      <c r="L62" s="69"/>
      <c r="M62" s="61"/>
      <c r="O62" s="10"/>
      <c r="P62" s="203" t="s">
        <v>23</v>
      </c>
      <c r="Q62" s="9"/>
      <c r="R62" s="84">
        <f t="shared" ref="R62:AA62" si="38">R52/R57</f>
        <v>6.4245996441281079</v>
      </c>
      <c r="S62" s="84">
        <f t="shared" si="38"/>
        <v>2.9157180675049545</v>
      </c>
      <c r="T62" s="84">
        <f t="shared" si="38"/>
        <v>3.8011304573804607</v>
      </c>
      <c r="U62" s="84">
        <f t="shared" si="38"/>
        <v>3.6762055155434425</v>
      </c>
      <c r="V62" s="84">
        <f t="shared" si="38"/>
        <v>2.6293704600484151</v>
      </c>
      <c r="W62" s="84">
        <f t="shared" si="38"/>
        <v>3.6164399461442183</v>
      </c>
      <c r="X62" s="84">
        <f t="shared" si="38"/>
        <v>7.0151704073150318</v>
      </c>
      <c r="Y62" s="84">
        <f t="shared" si="38"/>
        <v>5.1737558337990128</v>
      </c>
      <c r="Z62" s="84">
        <f t="shared" si="38"/>
        <v>3.5409697124764001</v>
      </c>
      <c r="AA62" s="84">
        <f t="shared" si="38"/>
        <v>4.9846404826397608</v>
      </c>
    </row>
    <row r="63" spans="2:28" ht="35.25" customHeight="1" x14ac:dyDescent="0.2">
      <c r="B63" s="54"/>
      <c r="C63" s="54"/>
      <c r="D63" s="54"/>
      <c r="E63" s="54"/>
      <c r="F63" s="54"/>
      <c r="G63" s="54"/>
      <c r="H63" s="54"/>
      <c r="I63" s="54"/>
      <c r="J63" s="54"/>
      <c r="K63" s="54"/>
      <c r="L63" s="75"/>
      <c r="M63" s="61"/>
      <c r="O63" s="296" t="s">
        <v>290</v>
      </c>
      <c r="P63" s="307" t="s">
        <v>292</v>
      </c>
      <c r="Q63" s="306"/>
      <c r="R63" s="306"/>
      <c r="S63" s="306"/>
      <c r="T63" s="306"/>
      <c r="U63" s="306"/>
      <c r="V63" s="306"/>
      <c r="W63" s="306"/>
      <c r="X63" s="306"/>
      <c r="Y63" s="306"/>
      <c r="Z63" s="306"/>
      <c r="AA63" s="306"/>
    </row>
    <row r="64" spans="2:28" ht="12.75" customHeight="1" x14ac:dyDescent="0.2">
      <c r="B64" s="54"/>
      <c r="C64" s="54"/>
      <c r="D64" s="54"/>
      <c r="E64" s="54"/>
      <c r="F64" s="54"/>
      <c r="G64" s="54"/>
      <c r="H64" s="54"/>
      <c r="I64" s="54"/>
      <c r="J64" s="54"/>
      <c r="K64" s="54"/>
      <c r="L64" s="69"/>
      <c r="M64" s="61"/>
      <c r="O64" s="166" t="s">
        <v>95</v>
      </c>
      <c r="P64" s="166" t="s">
        <v>96</v>
      </c>
      <c r="Q64" s="148"/>
      <c r="R64" s="248"/>
      <c r="S64" s="248"/>
      <c r="T64" s="248"/>
      <c r="U64" s="248"/>
      <c r="V64" s="248"/>
      <c r="W64" s="248"/>
      <c r="X64" s="248"/>
    </row>
    <row r="65" spans="2:27" ht="12.75" customHeight="1" x14ac:dyDescent="0.2">
      <c r="B65" s="54"/>
      <c r="C65" s="54"/>
      <c r="D65" s="54"/>
      <c r="E65" s="54"/>
      <c r="F65" s="54"/>
      <c r="G65" s="54"/>
      <c r="H65" s="54"/>
      <c r="I65" s="54"/>
      <c r="J65" s="54"/>
      <c r="K65" s="54"/>
      <c r="L65" s="75"/>
      <c r="M65" s="61"/>
      <c r="O65" s="16"/>
      <c r="P65" s="16"/>
      <c r="Q65" s="16"/>
      <c r="R65" s="264"/>
      <c r="S65" s="264"/>
      <c r="T65" s="264"/>
      <c r="U65" s="264"/>
      <c r="V65" s="264"/>
      <c r="W65" s="264"/>
      <c r="X65" s="264"/>
      <c r="Y65" s="264"/>
      <c r="Z65" s="264"/>
      <c r="AA65" s="264"/>
    </row>
    <row r="66" spans="2:27" ht="12.75" customHeight="1" x14ac:dyDescent="0.2">
      <c r="B66" s="54"/>
      <c r="C66" s="54"/>
      <c r="D66" s="54"/>
      <c r="E66" s="54"/>
      <c r="F66" s="54"/>
      <c r="G66" s="54"/>
      <c r="H66" s="54"/>
      <c r="I66" s="54"/>
      <c r="J66" s="54"/>
      <c r="K66" s="54"/>
      <c r="L66" s="69"/>
      <c r="M66" s="61"/>
      <c r="O66" s="9"/>
      <c r="P66" s="9"/>
      <c r="Q66" s="9"/>
      <c r="R66" s="248"/>
      <c r="S66" s="248"/>
      <c r="T66" s="248"/>
      <c r="U66" s="248"/>
      <c r="V66" s="248"/>
      <c r="W66" s="248"/>
      <c r="X66" s="248"/>
    </row>
    <row r="67" spans="2:27" ht="12.75" customHeight="1" x14ac:dyDescent="0.2">
      <c r="B67" s="54"/>
      <c r="C67" s="54"/>
      <c r="D67" s="54"/>
      <c r="E67" s="54"/>
      <c r="F67" s="54"/>
      <c r="G67" s="54"/>
      <c r="H67" s="54"/>
      <c r="I67" s="54"/>
      <c r="J67" s="54"/>
      <c r="K67" s="54"/>
      <c r="L67" s="69"/>
      <c r="M67" s="61"/>
      <c r="O67" s="9"/>
      <c r="P67" s="9"/>
      <c r="Q67" s="9"/>
      <c r="R67" s="248"/>
      <c r="S67" s="248"/>
      <c r="T67" s="248"/>
      <c r="U67" s="248"/>
      <c r="V67" s="248"/>
      <c r="W67" s="248"/>
      <c r="X67" s="248"/>
    </row>
    <row r="68" spans="2:27" ht="12.75" customHeight="1" x14ac:dyDescent="0.2">
      <c r="B68" s="54"/>
      <c r="C68" s="54"/>
      <c r="D68" s="54"/>
      <c r="E68" s="54"/>
      <c r="F68" s="54"/>
      <c r="G68" s="54"/>
      <c r="H68" s="54"/>
      <c r="I68" s="54"/>
      <c r="J68" s="54"/>
      <c r="K68" s="54"/>
      <c r="L68" s="75"/>
      <c r="M68" s="61"/>
      <c r="Y68" s="247"/>
    </row>
    <row r="69" spans="2:27" ht="12.75" customHeight="1" x14ac:dyDescent="0.2">
      <c r="B69" s="54"/>
      <c r="C69" s="54"/>
      <c r="D69" s="54"/>
      <c r="E69" s="54"/>
      <c r="F69" s="54"/>
      <c r="G69" s="54"/>
      <c r="H69" s="54"/>
      <c r="I69" s="54"/>
      <c r="J69" s="54"/>
      <c r="K69" s="54"/>
      <c r="L69" s="69"/>
      <c r="M69" s="61"/>
      <c r="Y69" s="247"/>
    </row>
    <row r="70" spans="2:27" ht="12.75" customHeight="1" x14ac:dyDescent="0.2">
      <c r="B70" s="54"/>
      <c r="C70" s="54"/>
      <c r="D70" s="54"/>
      <c r="E70" s="54"/>
      <c r="F70" s="54"/>
      <c r="G70" s="54"/>
      <c r="H70" s="54"/>
      <c r="I70" s="54"/>
      <c r="J70" s="54"/>
      <c r="K70" s="54"/>
      <c r="L70" s="75"/>
      <c r="M70" s="61"/>
      <c r="O70" s="11" t="s">
        <v>72</v>
      </c>
      <c r="Y70" s="247"/>
    </row>
    <row r="71" spans="2:27" ht="12.75" customHeight="1" x14ac:dyDescent="0.2">
      <c r="B71" s="54"/>
      <c r="C71" s="54"/>
      <c r="D71" s="54"/>
      <c r="E71" s="54"/>
      <c r="F71" s="54"/>
      <c r="G71" s="54"/>
      <c r="H71" s="54"/>
      <c r="I71" s="54"/>
      <c r="J71" s="54"/>
      <c r="K71" s="54"/>
      <c r="L71" s="69"/>
      <c r="M71" s="61"/>
      <c r="Y71" s="247"/>
    </row>
    <row r="72" spans="2:27" ht="12.75" customHeight="1" x14ac:dyDescent="0.2">
      <c r="B72" s="54"/>
      <c r="C72" s="55" t="s">
        <v>68</v>
      </c>
      <c r="D72" s="55" t="s">
        <v>70</v>
      </c>
      <c r="E72" s="56"/>
      <c r="F72" s="56"/>
      <c r="G72" s="54"/>
      <c r="H72" s="54"/>
      <c r="I72" s="54"/>
      <c r="J72" s="54"/>
      <c r="K72" s="54"/>
      <c r="L72" s="75"/>
      <c r="M72" s="61"/>
      <c r="Y72" s="247"/>
    </row>
    <row r="73" spans="2:27" ht="12.75" customHeight="1" x14ac:dyDescent="0.2">
      <c r="B73" s="54"/>
      <c r="C73" s="55" t="s">
        <v>293</v>
      </c>
      <c r="D73" s="54"/>
      <c r="E73" s="54"/>
      <c r="F73" s="54"/>
      <c r="G73" s="54"/>
      <c r="H73" s="54"/>
      <c r="I73" s="54"/>
      <c r="J73" s="54"/>
      <c r="K73" s="54"/>
      <c r="L73" s="75"/>
      <c r="M73" s="61"/>
      <c r="Y73" s="247"/>
    </row>
    <row r="74" spans="2:27" ht="12.75" customHeight="1" x14ac:dyDescent="0.2">
      <c r="B74" s="54"/>
      <c r="C74" s="54"/>
      <c r="D74" s="54"/>
      <c r="E74" s="54"/>
      <c r="F74" s="54"/>
      <c r="G74" s="54"/>
      <c r="H74" s="54"/>
      <c r="I74" s="54"/>
      <c r="J74" s="54"/>
      <c r="K74" s="54"/>
      <c r="L74" s="75"/>
      <c r="M74" s="61"/>
    </row>
    <row r="75" spans="2:27" s="297" customFormat="1" ht="12.75" customHeight="1" x14ac:dyDescent="0.2">
      <c r="L75" s="298"/>
      <c r="M75" s="299"/>
      <c r="N75" s="299"/>
      <c r="O75" s="299"/>
      <c r="P75" s="299"/>
      <c r="Q75" s="299"/>
      <c r="R75" s="300"/>
      <c r="S75" s="300"/>
      <c r="T75" s="300"/>
      <c r="U75" s="300"/>
      <c r="V75" s="300"/>
      <c r="W75" s="300"/>
      <c r="X75" s="300"/>
      <c r="Y75" s="301"/>
      <c r="Z75" s="301"/>
      <c r="AA75" s="301"/>
    </row>
    <row r="77" spans="2:27" ht="12.75" customHeight="1" x14ac:dyDescent="0.2">
      <c r="C77" s="8"/>
      <c r="D77" s="8"/>
      <c r="E77" s="8"/>
      <c r="F77" s="8"/>
      <c r="G77" s="8"/>
      <c r="H77" s="8"/>
      <c r="I77" s="8"/>
      <c r="J77" s="8"/>
      <c r="K77" s="8"/>
    </row>
    <row r="78" spans="2:27" ht="12.75" customHeight="1" x14ac:dyDescent="0.2">
      <c r="C78" s="8"/>
      <c r="D78" s="8"/>
      <c r="E78" s="8"/>
      <c r="F78" s="8"/>
      <c r="G78" s="8"/>
      <c r="H78" s="8"/>
      <c r="I78" s="8"/>
      <c r="J78" s="8"/>
      <c r="K78" s="8"/>
    </row>
    <row r="79" spans="2:27" ht="12.75" customHeight="1" x14ac:dyDescent="0.2">
      <c r="C79" s="8"/>
      <c r="D79" s="8"/>
      <c r="E79" s="8"/>
      <c r="F79" s="8"/>
      <c r="G79" s="8"/>
      <c r="H79" s="8"/>
      <c r="I79" s="8"/>
      <c r="J79" s="8"/>
      <c r="K79" s="8"/>
    </row>
    <row r="80" spans="2:27" ht="12.75" customHeight="1" x14ac:dyDescent="0.2">
      <c r="C80" s="8"/>
      <c r="D80" s="8"/>
      <c r="E80" s="8"/>
      <c r="F80" s="8"/>
      <c r="G80" s="8"/>
      <c r="H80" s="8"/>
      <c r="I80" s="8"/>
      <c r="J80" s="8"/>
      <c r="K80" s="8"/>
    </row>
    <row r="81" spans="3:11" ht="12.75" customHeight="1" x14ac:dyDescent="0.2">
      <c r="C81" s="8"/>
      <c r="D81" s="8"/>
      <c r="E81" s="8"/>
      <c r="F81" s="8"/>
      <c r="G81" s="8"/>
      <c r="H81" s="8"/>
      <c r="I81" s="8"/>
      <c r="J81" s="8"/>
      <c r="K81" s="8"/>
    </row>
    <row r="82" spans="3:11" ht="12.75" customHeight="1" x14ac:dyDescent="0.2">
      <c r="C82" s="8"/>
      <c r="D82" s="8"/>
      <c r="E82" s="8"/>
      <c r="F82" s="8"/>
      <c r="G82" s="8"/>
      <c r="H82" s="8"/>
      <c r="I82" s="8"/>
      <c r="J82" s="8"/>
      <c r="K82" s="8"/>
    </row>
    <row r="83" spans="3:11" ht="12.75" customHeight="1" x14ac:dyDescent="0.2">
      <c r="C83" s="8"/>
      <c r="D83" s="8"/>
      <c r="E83" s="8"/>
      <c r="F83" s="8"/>
      <c r="G83" s="8"/>
      <c r="H83" s="8"/>
      <c r="I83" s="8"/>
      <c r="J83" s="8"/>
      <c r="K83" s="8"/>
    </row>
    <row r="84" spans="3:11" ht="12.75" customHeight="1" x14ac:dyDescent="0.2">
      <c r="C84" s="8"/>
      <c r="D84" s="8"/>
      <c r="E84" s="8"/>
      <c r="F84" s="8"/>
      <c r="G84" s="8"/>
      <c r="H84" s="8"/>
      <c r="I84" s="8"/>
      <c r="J84" s="8"/>
      <c r="K84" s="8"/>
    </row>
  </sheetData>
  <mergeCells count="2">
    <mergeCell ref="C4:M4"/>
    <mergeCell ref="P63:AA63"/>
  </mergeCells>
  <hyperlinks>
    <hyperlink ref="O1" location="Contents!A1" display="Back to Contents"/>
  </hyperlinks>
  <pageMargins left="0.19685039370078741" right="0.19685039370078741" top="0.19685039370078741" bottom="0.19685039370078741" header="0.31496062992125984" footer="0.31496062992125984"/>
  <pageSetup paperSize="9" scale="56" orientation="landscape" r:id="rId1"/>
  <rowBreaks count="1" manualBreakCount="1">
    <brk id="77"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1"/>
  <sheetViews>
    <sheetView showGridLines="0" zoomScaleNormal="100" workbookViewId="0">
      <selection activeCell="L108" sqref="L108"/>
    </sheetView>
  </sheetViews>
  <sheetFormatPr defaultRowHeight="12.75" x14ac:dyDescent="0.2"/>
  <cols>
    <col min="1" max="1" width="5.42578125" style="12" customWidth="1"/>
    <col min="2" max="2" width="1.7109375" style="12" customWidth="1"/>
    <col min="3" max="3" width="6.5703125" style="12" customWidth="1"/>
    <col min="4" max="11" width="9.140625" style="12"/>
    <col min="12" max="12" width="7.5703125" style="12" customWidth="1"/>
    <col min="13" max="13" width="5.85546875" style="12" customWidth="1"/>
    <col min="14" max="14" width="15.42578125" style="12" customWidth="1"/>
    <col min="15" max="15" width="26.140625" style="22" customWidth="1"/>
    <col min="16" max="16" width="11.85546875" style="22" customWidth="1"/>
    <col min="17" max="17" width="11.140625" style="23" customWidth="1"/>
    <col min="18" max="18" width="6.28515625" style="27" customWidth="1"/>
    <col min="19" max="26" width="7.7109375" style="37" customWidth="1"/>
    <col min="27" max="27" width="7.7109375" style="31" customWidth="1"/>
    <col min="28" max="28" width="7.7109375" style="12" customWidth="1"/>
    <col min="29" max="33" width="9.140625" style="12"/>
    <col min="34" max="58" width="9.140625" style="282"/>
    <col min="59" max="73" width="9.140625" style="9"/>
    <col min="74" max="16384" width="9.140625" style="12"/>
  </cols>
  <sheetData>
    <row r="1" spans="1:73" x14ac:dyDescent="0.2">
      <c r="O1" s="90" t="s">
        <v>226</v>
      </c>
    </row>
    <row r="2" spans="1:73" ht="23.25" x14ac:dyDescent="0.35">
      <c r="C2" s="81" t="s">
        <v>225</v>
      </c>
      <c r="O2" s="90"/>
    </row>
    <row r="3" spans="1:73" x14ac:dyDescent="0.2">
      <c r="O3" s="90"/>
    </row>
    <row r="4" spans="1:73" ht="57" customHeight="1" x14ac:dyDescent="0.2">
      <c r="C4" s="310" t="s">
        <v>272</v>
      </c>
      <c r="D4" s="311"/>
      <c r="E4" s="311"/>
      <c r="F4" s="311"/>
      <c r="G4" s="311"/>
      <c r="H4" s="311"/>
      <c r="I4" s="311"/>
      <c r="J4" s="311"/>
      <c r="K4" s="311"/>
      <c r="L4" s="311"/>
      <c r="M4" s="311"/>
      <c r="N4" s="311"/>
    </row>
    <row r="6" spans="1:73" x14ac:dyDescent="0.2">
      <c r="B6" s="51"/>
      <c r="C6" s="51"/>
      <c r="D6" s="51"/>
      <c r="E6" s="51"/>
      <c r="F6" s="51"/>
      <c r="G6" s="51"/>
      <c r="H6" s="51"/>
      <c r="I6" s="51"/>
      <c r="J6" s="51"/>
      <c r="K6" s="51"/>
      <c r="L6" s="51"/>
      <c r="M6" s="51"/>
    </row>
    <row r="7" spans="1:73" ht="15" x14ac:dyDescent="0.25">
      <c r="B7" s="51"/>
      <c r="C7" s="67" t="s">
        <v>245</v>
      </c>
      <c r="D7" s="51"/>
      <c r="E7" s="51"/>
      <c r="F7" s="51"/>
      <c r="G7" s="51"/>
      <c r="H7" s="51"/>
      <c r="I7" s="51"/>
      <c r="J7" s="51"/>
      <c r="K7" s="51"/>
      <c r="L7" s="51"/>
      <c r="M7" s="51"/>
      <c r="O7" s="91" t="s">
        <v>253</v>
      </c>
    </row>
    <row r="8" spans="1:73" ht="15" x14ac:dyDescent="0.25">
      <c r="B8" s="51"/>
      <c r="C8" s="51"/>
      <c r="D8" s="51"/>
      <c r="E8" s="51"/>
      <c r="F8" s="51"/>
      <c r="G8" s="51"/>
      <c r="H8" s="51"/>
      <c r="I8" s="51"/>
      <c r="J8" s="51"/>
      <c r="K8" s="51"/>
      <c r="L8" s="51"/>
      <c r="M8" s="51"/>
      <c r="P8" s="91"/>
      <c r="Q8" s="163"/>
      <c r="R8" s="136"/>
      <c r="BI8" s="9" t="s">
        <v>3</v>
      </c>
      <c r="BJ8" s="9" t="s">
        <v>34</v>
      </c>
      <c r="BL8" s="9">
        <v>2007</v>
      </c>
      <c r="BM8" s="9">
        <v>2008</v>
      </c>
      <c r="BN8" s="9">
        <v>2009</v>
      </c>
      <c r="BO8" s="9">
        <v>2010</v>
      </c>
      <c r="BP8" s="9">
        <v>2011</v>
      </c>
      <c r="BQ8" s="9">
        <v>2012</v>
      </c>
      <c r="BR8" s="9">
        <v>2013</v>
      </c>
      <c r="BS8" s="9">
        <v>2014</v>
      </c>
      <c r="BT8" s="9">
        <v>2015</v>
      </c>
      <c r="BU8" s="9">
        <v>2016</v>
      </c>
    </row>
    <row r="9" spans="1:73" x14ac:dyDescent="0.2">
      <c r="B9" s="51"/>
      <c r="C9" s="51"/>
      <c r="D9" s="51"/>
      <c r="E9" s="51"/>
      <c r="F9" s="51"/>
      <c r="G9" s="51"/>
      <c r="H9" s="51"/>
      <c r="I9" s="51"/>
      <c r="J9" s="51"/>
      <c r="K9" s="51"/>
      <c r="L9" s="51"/>
      <c r="M9" s="51"/>
      <c r="O9" s="86" t="s">
        <v>3</v>
      </c>
      <c r="P9" s="114" t="s">
        <v>34</v>
      </c>
      <c r="BI9" s="9" t="s">
        <v>0</v>
      </c>
      <c r="BJ9" s="9" t="s">
        <v>6</v>
      </c>
      <c r="BK9" s="9" t="s">
        <v>19</v>
      </c>
      <c r="BL9" s="9">
        <f>VLOOKUP(BL$8&amp;"AllSex"&amp;"Maori"&amp;19,agesextable,7,FALSE)</f>
        <v>16.111509144203101</v>
      </c>
      <c r="BM9" s="9">
        <f t="shared" ref="BM9:BU9" si="0">VLOOKUP(BM$8&amp;"AllSex"&amp;"Maori"&amp;19,agesextable,7,FALSE)</f>
        <v>14.0105109663824</v>
      </c>
      <c r="BN9" s="9">
        <f t="shared" si="0"/>
        <v>13.081017831193</v>
      </c>
      <c r="BO9" s="9">
        <f t="shared" si="0"/>
        <v>15.806302990390501</v>
      </c>
      <c r="BP9" s="9">
        <f t="shared" si="0"/>
        <v>17.366835060391999</v>
      </c>
      <c r="BQ9" s="9">
        <f t="shared" si="0"/>
        <v>17.627168762910401</v>
      </c>
      <c r="BR9" s="9">
        <f t="shared" si="0"/>
        <v>15.8165730495112</v>
      </c>
      <c r="BS9" s="9">
        <f t="shared" si="0"/>
        <v>14.573975403997499</v>
      </c>
      <c r="BT9" s="9">
        <f t="shared" si="0"/>
        <v>17.835459808531901</v>
      </c>
      <c r="BU9" s="9">
        <f t="shared" si="0"/>
        <v>20.2849765886093</v>
      </c>
    </row>
    <row r="10" spans="1:73" x14ac:dyDescent="0.2">
      <c r="B10" s="51"/>
      <c r="C10" s="51"/>
      <c r="D10" s="51"/>
      <c r="E10" s="51"/>
      <c r="F10" s="51"/>
      <c r="G10" s="51"/>
      <c r="H10" s="51"/>
      <c r="I10" s="51"/>
      <c r="J10" s="51"/>
      <c r="K10" s="51"/>
      <c r="L10" s="51"/>
      <c r="M10" s="51"/>
      <c r="O10" s="23"/>
      <c r="P10" s="23"/>
      <c r="S10" s="38">
        <v>2007</v>
      </c>
      <c r="T10" s="38">
        <v>2008</v>
      </c>
      <c r="U10" s="38">
        <v>2009</v>
      </c>
      <c r="V10" s="38">
        <v>2010</v>
      </c>
      <c r="W10" s="38">
        <v>2011</v>
      </c>
      <c r="X10" s="38">
        <v>2012</v>
      </c>
      <c r="Y10" s="38">
        <v>2013</v>
      </c>
      <c r="Z10" s="38">
        <v>2014</v>
      </c>
      <c r="AA10" s="38">
        <v>2015</v>
      </c>
      <c r="AB10" s="38">
        <v>2016</v>
      </c>
      <c r="BK10" s="9" t="s">
        <v>13</v>
      </c>
      <c r="BL10" s="9">
        <f t="shared" ref="BL10:BT10" si="1">VLOOKUP(BL8&amp;"AllSex"&amp;"Maori"&amp;19,agesextable,8,FALSE)</f>
        <v>3.2</v>
      </c>
      <c r="BM10" s="9">
        <f t="shared" si="1"/>
        <v>2.9</v>
      </c>
      <c r="BN10" s="9">
        <f t="shared" si="1"/>
        <v>2.8</v>
      </c>
      <c r="BO10" s="9">
        <f t="shared" si="1"/>
        <v>3.1</v>
      </c>
      <c r="BP10" s="9">
        <f t="shared" si="1"/>
        <v>3.2</v>
      </c>
      <c r="BQ10" s="9">
        <f t="shared" si="1"/>
        <v>3.2</v>
      </c>
      <c r="BR10" s="9">
        <f t="shared" si="1"/>
        <v>3</v>
      </c>
      <c r="BS10" s="9">
        <f t="shared" si="1"/>
        <v>3</v>
      </c>
      <c r="BT10" s="9">
        <f t="shared" si="1"/>
        <v>3.2</v>
      </c>
      <c r="BU10" s="9">
        <f t="shared" ref="BU10" si="2">VLOOKUP(BU8&amp;"AllSex"&amp;"Maori"&amp;19,agesextable,8,FALSE)</f>
        <v>3.4</v>
      </c>
    </row>
    <row r="11" spans="1:73" x14ac:dyDescent="0.2">
      <c r="B11" s="51"/>
      <c r="C11" s="51"/>
      <c r="D11" s="51"/>
      <c r="E11" s="51"/>
      <c r="F11" s="51"/>
      <c r="G11" s="51"/>
      <c r="H11" s="51"/>
      <c r="I11" s="51"/>
      <c r="J11" s="51"/>
      <c r="K11" s="51"/>
      <c r="L11" s="51"/>
      <c r="M11" s="51"/>
      <c r="O11" s="23" t="s">
        <v>0</v>
      </c>
      <c r="P11" s="23" t="s">
        <v>6</v>
      </c>
      <c r="Q11" s="23" t="s">
        <v>18</v>
      </c>
      <c r="S11" s="85">
        <f t="shared" ref="S11:AB11" si="3">VLOOKUP(S$10&amp;"AllSex"&amp;"Maori"&amp;19,agesextable,6,FALSE)</f>
        <v>97</v>
      </c>
      <c r="T11" s="85">
        <f t="shared" si="3"/>
        <v>87</v>
      </c>
      <c r="U11" s="85">
        <f t="shared" si="3"/>
        <v>83</v>
      </c>
      <c r="V11" s="85">
        <f t="shared" si="3"/>
        <v>102</v>
      </c>
      <c r="W11" s="85">
        <f t="shared" si="3"/>
        <v>113</v>
      </c>
      <c r="X11" s="85">
        <f t="shared" si="3"/>
        <v>119</v>
      </c>
      <c r="Y11" s="85">
        <f t="shared" si="3"/>
        <v>104</v>
      </c>
      <c r="Z11" s="85">
        <f t="shared" si="3"/>
        <v>93</v>
      </c>
      <c r="AA11" s="85">
        <f t="shared" si="3"/>
        <v>118</v>
      </c>
      <c r="AB11" s="85">
        <f t="shared" si="3"/>
        <v>135</v>
      </c>
      <c r="BA11" s="283"/>
      <c r="BB11" s="283"/>
      <c r="BC11" s="283"/>
      <c r="BD11" s="283"/>
      <c r="BE11" s="283"/>
      <c r="BF11" s="283"/>
      <c r="BL11" s="245"/>
      <c r="BM11" s="245"/>
      <c r="BN11" s="245"/>
      <c r="BO11" s="245"/>
      <c r="BP11" s="245"/>
      <c r="BQ11" s="245"/>
      <c r="BR11" s="245"/>
      <c r="BS11" s="245"/>
      <c r="BT11" s="245"/>
    </row>
    <row r="12" spans="1:73" x14ac:dyDescent="0.2">
      <c r="B12" s="51"/>
      <c r="C12" s="51"/>
      <c r="D12" s="51"/>
      <c r="E12" s="51"/>
      <c r="F12" s="51"/>
      <c r="G12" s="51"/>
      <c r="H12" s="51"/>
      <c r="I12" s="51"/>
      <c r="J12" s="51"/>
      <c r="K12" s="51"/>
      <c r="L12" s="51"/>
      <c r="M12" s="51"/>
      <c r="O12" s="23" t="s">
        <v>17</v>
      </c>
      <c r="P12" s="23"/>
      <c r="S12" s="85">
        <f t="shared" ref="S12:AB12" si="4">VLOOKUP(S10&amp;"Male"&amp;"Maori"&amp;19,agesextable,6,FALSE)</f>
        <v>74</v>
      </c>
      <c r="T12" s="85">
        <f t="shared" si="4"/>
        <v>56</v>
      </c>
      <c r="U12" s="85">
        <f t="shared" si="4"/>
        <v>58</v>
      </c>
      <c r="V12" s="85">
        <f t="shared" si="4"/>
        <v>72</v>
      </c>
      <c r="W12" s="85">
        <f t="shared" si="4"/>
        <v>81</v>
      </c>
      <c r="X12" s="85">
        <f t="shared" si="4"/>
        <v>82</v>
      </c>
      <c r="Y12" s="85">
        <f t="shared" si="4"/>
        <v>65</v>
      </c>
      <c r="Z12" s="85">
        <f t="shared" si="4"/>
        <v>66</v>
      </c>
      <c r="AA12" s="85">
        <f t="shared" si="4"/>
        <v>78</v>
      </c>
      <c r="AB12" s="85">
        <f t="shared" si="4"/>
        <v>99</v>
      </c>
    </row>
    <row r="13" spans="1:73" x14ac:dyDescent="0.2">
      <c r="B13" s="51"/>
      <c r="C13" s="51"/>
      <c r="D13" s="51"/>
      <c r="E13" s="51"/>
      <c r="F13" s="51"/>
      <c r="G13" s="51"/>
      <c r="H13" s="51"/>
      <c r="I13" s="51"/>
      <c r="J13" s="51"/>
      <c r="K13" s="52"/>
      <c r="L13" s="52"/>
      <c r="M13" s="52"/>
      <c r="N13" s="29"/>
      <c r="O13" s="27" t="s">
        <v>5</v>
      </c>
      <c r="P13" s="27"/>
      <c r="Q13" s="27"/>
      <c r="S13" s="85">
        <f t="shared" ref="S13:AB13" si="5">VLOOKUP(S$10&amp;"Female"&amp;"Maori"&amp;19,agesextable,6,FALSE)</f>
        <v>23</v>
      </c>
      <c r="T13" s="85">
        <f t="shared" si="5"/>
        <v>31</v>
      </c>
      <c r="U13" s="85">
        <f t="shared" si="5"/>
        <v>25</v>
      </c>
      <c r="V13" s="85">
        <f t="shared" si="5"/>
        <v>30</v>
      </c>
      <c r="W13" s="85">
        <f t="shared" si="5"/>
        <v>32</v>
      </c>
      <c r="X13" s="85">
        <f t="shared" si="5"/>
        <v>37</v>
      </c>
      <c r="Y13" s="85">
        <f t="shared" si="5"/>
        <v>39</v>
      </c>
      <c r="Z13" s="85">
        <f t="shared" si="5"/>
        <v>27</v>
      </c>
      <c r="AA13" s="85">
        <f t="shared" si="5"/>
        <v>40</v>
      </c>
      <c r="AB13" s="85">
        <f t="shared" si="5"/>
        <v>36</v>
      </c>
    </row>
    <row r="14" spans="1:73" ht="12.75" customHeight="1" x14ac:dyDescent="0.2">
      <c r="A14" s="29"/>
      <c r="B14" s="52"/>
      <c r="C14" s="52"/>
      <c r="D14" s="52"/>
      <c r="E14" s="52"/>
      <c r="F14" s="52"/>
      <c r="G14" s="52"/>
      <c r="H14" s="51"/>
      <c r="I14" s="51"/>
      <c r="J14" s="51"/>
      <c r="K14" s="52"/>
      <c r="L14" s="52"/>
      <c r="M14" s="52"/>
      <c r="N14" s="29"/>
      <c r="O14" s="24"/>
      <c r="P14" s="24"/>
      <c r="Q14" s="25"/>
      <c r="R14" s="25"/>
      <c r="S14" s="88"/>
      <c r="T14" s="88"/>
      <c r="U14" s="88"/>
      <c r="V14" s="88"/>
      <c r="W14" s="88"/>
      <c r="X14" s="88"/>
      <c r="Y14" s="88"/>
      <c r="Z14" s="88"/>
      <c r="AA14" s="34"/>
      <c r="AB14" s="19"/>
    </row>
    <row r="15" spans="1:73" ht="17.25" customHeight="1" x14ac:dyDescent="0.2">
      <c r="A15" s="29"/>
      <c r="B15" s="52"/>
      <c r="C15" s="52"/>
      <c r="D15" s="52"/>
      <c r="E15" s="52"/>
      <c r="F15" s="52"/>
      <c r="G15" s="52"/>
      <c r="H15" s="76"/>
      <c r="I15" s="51"/>
      <c r="J15" s="51"/>
      <c r="K15" s="77"/>
      <c r="L15" s="52"/>
      <c r="M15" s="52"/>
      <c r="N15" s="29"/>
      <c r="O15" s="23" t="s">
        <v>0</v>
      </c>
      <c r="P15" s="23" t="s">
        <v>6</v>
      </c>
      <c r="Q15" s="23" t="s">
        <v>19</v>
      </c>
      <c r="S15" s="36">
        <f t="shared" ref="S15:AB15" si="6">VLOOKUP(S$10&amp;"AllSex"&amp;"Maori"&amp;19,agesextable,7,FALSE)</f>
        <v>16.111509144203101</v>
      </c>
      <c r="T15" s="36">
        <f t="shared" si="6"/>
        <v>14.0105109663824</v>
      </c>
      <c r="U15" s="36">
        <f t="shared" si="6"/>
        <v>13.081017831193</v>
      </c>
      <c r="V15" s="36">
        <f t="shared" si="6"/>
        <v>15.806302990390501</v>
      </c>
      <c r="W15" s="36">
        <f t="shared" si="6"/>
        <v>17.366835060391999</v>
      </c>
      <c r="X15" s="36">
        <f t="shared" si="6"/>
        <v>17.627168762910401</v>
      </c>
      <c r="Y15" s="36">
        <f t="shared" si="6"/>
        <v>15.8165730495112</v>
      </c>
      <c r="Z15" s="36">
        <f t="shared" si="6"/>
        <v>14.573975403997499</v>
      </c>
      <c r="AA15" s="36">
        <f t="shared" si="6"/>
        <v>17.835459808531901</v>
      </c>
      <c r="AB15" s="36">
        <f t="shared" si="6"/>
        <v>20.2849765886093</v>
      </c>
      <c r="BI15" s="9" t="s">
        <v>220</v>
      </c>
    </row>
    <row r="16" spans="1:73" x14ac:dyDescent="0.2">
      <c r="A16" s="29"/>
      <c r="B16" s="52"/>
      <c r="C16" s="52"/>
      <c r="D16" s="52"/>
      <c r="E16" s="52"/>
      <c r="F16" s="52"/>
      <c r="G16" s="52"/>
      <c r="H16" s="51"/>
      <c r="I16" s="51"/>
      <c r="J16" s="51"/>
      <c r="K16" s="52"/>
      <c r="L16" s="52"/>
      <c r="M16" s="52"/>
      <c r="N16" s="29"/>
      <c r="O16" s="23" t="s">
        <v>17</v>
      </c>
      <c r="P16" s="23"/>
      <c r="Q16" s="27"/>
      <c r="S16" s="36">
        <f t="shared" ref="S16:AB16" si="7">VLOOKUP(S$10&amp;"Male"&amp;"Maori"&amp;19,agesextable,7,FALSE)</f>
        <v>25.915091779548401</v>
      </c>
      <c r="T16" s="36">
        <f t="shared" si="7"/>
        <v>19.8732690696398</v>
      </c>
      <c r="U16" s="36">
        <f t="shared" si="7"/>
        <v>19.4811396989931</v>
      </c>
      <c r="V16" s="36">
        <f t="shared" si="7"/>
        <v>23.689392361421</v>
      </c>
      <c r="W16" s="36">
        <f t="shared" si="7"/>
        <v>26.239623561034499</v>
      </c>
      <c r="X16" s="36">
        <f t="shared" si="7"/>
        <v>25.657974492525501</v>
      </c>
      <c r="Y16" s="36">
        <f t="shared" si="7"/>
        <v>21.1859227055823</v>
      </c>
      <c r="Z16" s="36">
        <f t="shared" si="7"/>
        <v>22.014569367455099</v>
      </c>
      <c r="AA16" s="36">
        <f t="shared" si="7"/>
        <v>25.5838413177833</v>
      </c>
      <c r="AB16" s="36">
        <f t="shared" si="7"/>
        <v>31.730023026068</v>
      </c>
    </row>
    <row r="17" spans="1:73" x14ac:dyDescent="0.2">
      <c r="A17" s="29"/>
      <c r="B17" s="52"/>
      <c r="C17" s="52"/>
      <c r="D17" s="52"/>
      <c r="E17" s="52"/>
      <c r="F17" s="52"/>
      <c r="G17" s="52"/>
      <c r="H17" s="51"/>
      <c r="I17" s="51"/>
      <c r="J17" s="51"/>
      <c r="K17" s="52"/>
      <c r="L17" s="52"/>
      <c r="M17" s="52"/>
      <c r="N17" s="29"/>
      <c r="O17" s="27" t="s">
        <v>5</v>
      </c>
      <c r="P17" s="27"/>
      <c r="Q17" s="27"/>
      <c r="S17" s="36">
        <f t="shared" ref="S17:AB17" si="8">VLOOKUP(S$10&amp;"Female"&amp;"Maori"&amp;19,agesextable,7,FALSE)</f>
        <v>7.2545885050603403</v>
      </c>
      <c r="T17" s="36">
        <f t="shared" si="8"/>
        <v>8.8796426541518301</v>
      </c>
      <c r="U17" s="36">
        <f t="shared" si="8"/>
        <v>7.3206868063360204</v>
      </c>
      <c r="V17" s="36">
        <f t="shared" si="8"/>
        <v>8.74468389486562</v>
      </c>
      <c r="W17" s="36">
        <f t="shared" si="8"/>
        <v>9.3323745071337907</v>
      </c>
      <c r="X17" s="36">
        <f t="shared" si="8"/>
        <v>10.376266848783301</v>
      </c>
      <c r="Y17" s="36">
        <f t="shared" si="8"/>
        <v>11.129535195000299</v>
      </c>
      <c r="Z17" s="36">
        <f t="shared" si="8"/>
        <v>8.0088287466587804</v>
      </c>
      <c r="AA17" s="36">
        <f t="shared" si="8"/>
        <v>11.215062247293901</v>
      </c>
      <c r="AB17" s="36">
        <f t="shared" si="8"/>
        <v>10.149379221506599</v>
      </c>
      <c r="BI17" s="9" t="s">
        <v>0</v>
      </c>
      <c r="BJ17" s="9" t="s">
        <v>6</v>
      </c>
      <c r="BK17" s="9" t="s">
        <v>19</v>
      </c>
      <c r="BL17" s="9">
        <f t="shared" ref="BL17:BU17" si="9">VLOOKUP(BL$8&amp;"AllSex"&amp;"Non-Maori"&amp;19,agesextable,7,FALSE)</f>
        <v>10.318814507971201</v>
      </c>
      <c r="BM17" s="9">
        <f t="shared" si="9"/>
        <v>11.1639267014209</v>
      </c>
      <c r="BN17" s="9">
        <f t="shared" si="9"/>
        <v>10.9175102802797</v>
      </c>
      <c r="BO17" s="9">
        <f t="shared" si="9"/>
        <v>10.8724229875909</v>
      </c>
      <c r="BP17" s="9">
        <f t="shared" si="9"/>
        <v>9.6064019829245701</v>
      </c>
      <c r="BQ17" s="9">
        <f t="shared" si="9"/>
        <v>10.8700975052411</v>
      </c>
      <c r="BR17" s="9">
        <f t="shared" si="9"/>
        <v>9.7148957708980408</v>
      </c>
      <c r="BS17" s="9">
        <f t="shared" si="9"/>
        <v>9.8906686786863496</v>
      </c>
      <c r="BT17" s="9">
        <f t="shared" si="9"/>
        <v>9.6236979515482304</v>
      </c>
      <c r="BU17" s="9">
        <f t="shared" si="9"/>
        <v>9.5245939991947992</v>
      </c>
    </row>
    <row r="18" spans="1:73" x14ac:dyDescent="0.2">
      <c r="A18" s="29"/>
      <c r="B18" s="52"/>
      <c r="C18" s="52"/>
      <c r="D18" s="52"/>
      <c r="E18" s="52"/>
      <c r="F18" s="52"/>
      <c r="G18" s="52"/>
      <c r="H18" s="51"/>
      <c r="I18" s="51"/>
      <c r="J18" s="51"/>
      <c r="K18" s="52"/>
      <c r="L18" s="52"/>
      <c r="M18" s="52"/>
      <c r="N18" s="29"/>
      <c r="O18" s="25"/>
      <c r="P18" s="25"/>
      <c r="Q18" s="25"/>
      <c r="R18" s="25"/>
      <c r="S18" s="88"/>
      <c r="T18" s="88"/>
      <c r="U18" s="88"/>
      <c r="V18" s="88"/>
      <c r="W18" s="88"/>
      <c r="X18" s="88"/>
      <c r="Y18" s="88"/>
      <c r="Z18" s="88"/>
      <c r="AA18" s="88"/>
      <c r="AB18" s="19"/>
      <c r="BK18" s="9" t="s">
        <v>13</v>
      </c>
      <c r="BL18" s="9">
        <f t="shared" ref="BL18:BU18" si="10">VLOOKUP(BL$8&amp;"AllSex"&amp;"Non-Maori"&amp;19,agesextable,8,FALSE)</f>
        <v>1</v>
      </c>
      <c r="BM18" s="9">
        <f t="shared" si="10"/>
        <v>1.1000000000000001</v>
      </c>
      <c r="BN18" s="9">
        <f t="shared" si="10"/>
        <v>1</v>
      </c>
      <c r="BO18" s="9">
        <f t="shared" si="10"/>
        <v>1</v>
      </c>
      <c r="BP18" s="9">
        <f t="shared" si="10"/>
        <v>1</v>
      </c>
      <c r="BQ18" s="9">
        <f t="shared" si="10"/>
        <v>1</v>
      </c>
      <c r="BR18" s="9">
        <f t="shared" si="10"/>
        <v>0.9</v>
      </c>
      <c r="BS18" s="9">
        <f t="shared" si="10"/>
        <v>0.9</v>
      </c>
      <c r="BT18" s="9">
        <f t="shared" si="10"/>
        <v>0.9</v>
      </c>
      <c r="BU18" s="9">
        <f t="shared" si="10"/>
        <v>0.9</v>
      </c>
    </row>
    <row r="19" spans="1:73" x14ac:dyDescent="0.2">
      <c r="A19" s="29"/>
      <c r="B19" s="52"/>
      <c r="C19" s="55" t="s">
        <v>68</v>
      </c>
      <c r="D19" s="55" t="s">
        <v>71</v>
      </c>
      <c r="E19" s="56"/>
      <c r="F19" s="56"/>
      <c r="G19" s="52"/>
      <c r="H19" s="51"/>
      <c r="I19" s="51"/>
      <c r="J19" s="51"/>
      <c r="K19" s="52"/>
      <c r="L19" s="52"/>
      <c r="M19" s="52"/>
      <c r="O19" s="115" t="s">
        <v>4</v>
      </c>
      <c r="P19" s="114" t="s">
        <v>34</v>
      </c>
      <c r="Q19" s="116"/>
      <c r="S19" s="38">
        <v>2007</v>
      </c>
      <c r="T19" s="38">
        <v>2008</v>
      </c>
      <c r="U19" s="38">
        <v>2009</v>
      </c>
      <c r="V19" s="38">
        <v>2010</v>
      </c>
      <c r="W19" s="38">
        <v>2011</v>
      </c>
      <c r="X19" s="38">
        <v>2012</v>
      </c>
      <c r="Y19" s="38">
        <v>2013</v>
      </c>
      <c r="Z19" s="38">
        <v>2014</v>
      </c>
      <c r="AA19" s="38">
        <v>2015</v>
      </c>
      <c r="AB19" s="38">
        <v>2016</v>
      </c>
    </row>
    <row r="20" spans="1:73" x14ac:dyDescent="0.2">
      <c r="A20" s="29"/>
      <c r="B20" s="52"/>
      <c r="C20" s="51"/>
      <c r="D20" s="59" t="s">
        <v>182</v>
      </c>
      <c r="E20" s="54"/>
      <c r="F20" s="54"/>
      <c r="G20" s="52"/>
      <c r="H20" s="51"/>
      <c r="I20" s="51"/>
      <c r="J20" s="51"/>
      <c r="K20" s="52"/>
      <c r="L20" s="52"/>
      <c r="M20" s="52"/>
      <c r="N20" s="29"/>
      <c r="AX20" s="284"/>
    </row>
    <row r="21" spans="1:73" x14ac:dyDescent="0.2">
      <c r="A21" s="29"/>
      <c r="B21" s="51"/>
      <c r="C21" s="55" t="s">
        <v>95</v>
      </c>
      <c r="D21" s="55" t="s">
        <v>96</v>
      </c>
      <c r="E21" s="54"/>
      <c r="F21" s="54"/>
      <c r="G21" s="51"/>
      <c r="H21" s="51"/>
      <c r="I21" s="51"/>
      <c r="J21" s="51"/>
      <c r="K21" s="52"/>
      <c r="L21" s="52"/>
      <c r="M21" s="52"/>
      <c r="N21" s="29"/>
      <c r="O21" s="27" t="s">
        <v>0</v>
      </c>
      <c r="P21" s="27" t="s">
        <v>6</v>
      </c>
      <c r="Q21" s="27" t="s">
        <v>18</v>
      </c>
      <c r="S21" s="37">
        <f t="shared" ref="S21:AB21" si="11">VLOOKUP(S$10&amp;"AllSex"&amp;"Non-Maori"&amp;19,agesextable,6,FALSE)</f>
        <v>404</v>
      </c>
      <c r="T21" s="37">
        <f t="shared" si="11"/>
        <v>431</v>
      </c>
      <c r="U21" s="37">
        <f t="shared" si="11"/>
        <v>429</v>
      </c>
      <c r="V21" s="37">
        <f t="shared" si="11"/>
        <v>432</v>
      </c>
      <c r="W21" s="37">
        <f t="shared" si="11"/>
        <v>381</v>
      </c>
      <c r="X21" s="37">
        <f t="shared" si="11"/>
        <v>431</v>
      </c>
      <c r="Y21" s="37">
        <f t="shared" si="11"/>
        <v>409</v>
      </c>
      <c r="Z21" s="37">
        <f t="shared" si="11"/>
        <v>417</v>
      </c>
      <c r="AA21" s="37">
        <f t="shared" si="11"/>
        <v>411</v>
      </c>
      <c r="AB21" s="37">
        <f t="shared" si="11"/>
        <v>418</v>
      </c>
      <c r="AX21" s="285"/>
      <c r="AY21" s="285"/>
      <c r="AZ21" s="286"/>
      <c r="BA21" s="287"/>
      <c r="BB21" s="288"/>
      <c r="BC21" s="288"/>
      <c r="BD21" s="288"/>
      <c r="BE21" s="288"/>
      <c r="BF21" s="288"/>
      <c r="BG21" s="83"/>
      <c r="BH21" s="83"/>
      <c r="BI21" s="83"/>
      <c r="BJ21" s="83"/>
      <c r="BK21" s="83"/>
      <c r="BL21" s="247"/>
      <c r="BM21" s="247"/>
      <c r="BN21" s="247"/>
      <c r="BO21" s="247"/>
      <c r="BP21" s="247"/>
      <c r="BQ21" s="247"/>
      <c r="BR21" s="247"/>
      <c r="BS21" s="247"/>
      <c r="BT21" s="247"/>
      <c r="BU21" s="248"/>
    </row>
    <row r="22" spans="1:73" x14ac:dyDescent="0.2">
      <c r="A22" s="29"/>
      <c r="B22" s="51"/>
      <c r="C22" s="56"/>
      <c r="D22" s="56"/>
      <c r="E22" s="56"/>
      <c r="F22" s="56"/>
      <c r="G22" s="51"/>
      <c r="H22" s="51"/>
      <c r="I22" s="51"/>
      <c r="J22" s="51"/>
      <c r="K22" s="52"/>
      <c r="L22" s="52"/>
      <c r="M22" s="52"/>
      <c r="N22" s="29"/>
      <c r="O22" s="27" t="s">
        <v>17</v>
      </c>
      <c r="P22" s="27"/>
      <c r="Q22" s="27"/>
      <c r="S22" s="85">
        <f t="shared" ref="S22:AB22" si="12">VLOOKUP(S10&amp;"Male"&amp;"Non-Maori"&amp;19,agesextable,6,FALSE)</f>
        <v>307</v>
      </c>
      <c r="T22" s="85">
        <f t="shared" si="12"/>
        <v>323</v>
      </c>
      <c r="U22" s="85">
        <f t="shared" si="12"/>
        <v>336</v>
      </c>
      <c r="V22" s="85">
        <f t="shared" si="12"/>
        <v>315</v>
      </c>
      <c r="W22" s="85">
        <f t="shared" si="12"/>
        <v>296</v>
      </c>
      <c r="X22" s="85">
        <f t="shared" si="12"/>
        <v>323</v>
      </c>
      <c r="Y22" s="85">
        <f t="shared" si="12"/>
        <v>300</v>
      </c>
      <c r="Z22" s="85">
        <f t="shared" si="12"/>
        <v>313</v>
      </c>
      <c r="AA22" s="85">
        <f t="shared" si="12"/>
        <v>308</v>
      </c>
      <c r="AB22" s="85">
        <f t="shared" si="12"/>
        <v>313</v>
      </c>
      <c r="AX22" s="286"/>
      <c r="AY22" s="286"/>
      <c r="AZ22" s="286"/>
      <c r="BA22" s="287"/>
      <c r="BB22" s="289"/>
      <c r="BC22" s="289"/>
      <c r="BD22" s="289"/>
      <c r="BE22" s="289"/>
      <c r="BF22" s="289"/>
      <c r="BG22" s="249"/>
      <c r="BH22" s="249"/>
      <c r="BI22" s="249"/>
      <c r="BJ22" s="249"/>
      <c r="BK22" s="249"/>
      <c r="BL22" s="249"/>
      <c r="BM22" s="250"/>
      <c r="BN22" s="250"/>
      <c r="BO22" s="250"/>
      <c r="BP22" s="250"/>
      <c r="BQ22" s="250"/>
      <c r="BR22" s="250"/>
      <c r="BS22" s="250"/>
      <c r="BT22" s="250"/>
      <c r="BU22" s="250"/>
    </row>
    <row r="23" spans="1:73" x14ac:dyDescent="0.2">
      <c r="A23" s="29"/>
      <c r="K23" s="29"/>
      <c r="L23" s="29"/>
      <c r="M23" s="29"/>
      <c r="N23" s="29"/>
      <c r="O23" s="23" t="s">
        <v>5</v>
      </c>
      <c r="P23" s="23"/>
      <c r="S23" s="37">
        <f t="shared" ref="S23:AB23" si="13">VLOOKUP(S$10&amp;"Female"&amp;"Non-Maori"&amp;19,agesextable,6,FALSE)</f>
        <v>97</v>
      </c>
      <c r="T23" s="37">
        <f t="shared" si="13"/>
        <v>108</v>
      </c>
      <c r="U23" s="37">
        <f t="shared" si="13"/>
        <v>93</v>
      </c>
      <c r="V23" s="37">
        <f t="shared" si="13"/>
        <v>117</v>
      </c>
      <c r="W23" s="37">
        <f t="shared" si="13"/>
        <v>85</v>
      </c>
      <c r="X23" s="37">
        <f t="shared" si="13"/>
        <v>108</v>
      </c>
      <c r="Y23" s="37">
        <f t="shared" si="13"/>
        <v>109</v>
      </c>
      <c r="Z23" s="37">
        <f t="shared" si="13"/>
        <v>104</v>
      </c>
      <c r="AA23" s="37">
        <f t="shared" si="13"/>
        <v>103</v>
      </c>
      <c r="AB23" s="37">
        <f t="shared" si="13"/>
        <v>105</v>
      </c>
      <c r="AX23" s="284"/>
      <c r="AY23" s="284"/>
      <c r="AZ23" s="284"/>
      <c r="BA23" s="284"/>
      <c r="BB23" s="284"/>
      <c r="BC23" s="284"/>
      <c r="BD23" s="284"/>
      <c r="BE23" s="284"/>
      <c r="BF23" s="284"/>
      <c r="BG23" s="246"/>
      <c r="BH23" s="246"/>
      <c r="BI23" s="246"/>
      <c r="BJ23" s="246"/>
      <c r="BK23" s="246"/>
      <c r="BL23" s="246"/>
      <c r="BM23" s="246"/>
      <c r="BN23" s="246"/>
      <c r="BO23" s="246"/>
      <c r="BP23" s="246"/>
      <c r="BQ23" s="246"/>
      <c r="BR23" s="246"/>
      <c r="BS23" s="246"/>
      <c r="BT23" s="246"/>
      <c r="BU23" s="246"/>
    </row>
    <row r="24" spans="1:73" x14ac:dyDescent="0.2">
      <c r="N24" s="29"/>
      <c r="O24" s="25"/>
      <c r="P24" s="25"/>
      <c r="Q24" s="25"/>
      <c r="R24" s="25"/>
      <c r="S24" s="88"/>
      <c r="T24" s="88"/>
      <c r="U24" s="88"/>
      <c r="V24" s="88"/>
      <c r="W24" s="88"/>
      <c r="X24" s="88"/>
      <c r="Y24" s="88"/>
      <c r="Z24" s="88"/>
      <c r="AA24" s="88"/>
      <c r="AB24" s="88"/>
      <c r="AX24" s="284"/>
      <c r="AZ24" s="284"/>
      <c r="BA24" s="284"/>
      <c r="BB24" s="290"/>
      <c r="BC24" s="290"/>
      <c r="BD24" s="283"/>
      <c r="BE24" s="283"/>
      <c r="BF24" s="283"/>
      <c r="BG24" s="245"/>
      <c r="BH24" s="245"/>
      <c r="BI24" s="245"/>
      <c r="BJ24" s="245"/>
      <c r="BK24" s="245"/>
      <c r="BL24" s="245"/>
      <c r="BM24" s="245"/>
      <c r="BN24" s="245"/>
      <c r="BO24" s="245"/>
      <c r="BP24" s="245"/>
      <c r="BQ24" s="245"/>
      <c r="BR24" s="245"/>
      <c r="BS24" s="245"/>
      <c r="BT24" s="245"/>
      <c r="BU24" s="245"/>
    </row>
    <row r="25" spans="1:73" x14ac:dyDescent="0.2">
      <c r="B25" s="51"/>
      <c r="C25" s="51"/>
      <c r="D25" s="51"/>
      <c r="E25" s="51"/>
      <c r="F25" s="51"/>
      <c r="G25" s="51"/>
      <c r="H25" s="51"/>
      <c r="I25" s="51"/>
      <c r="J25" s="51"/>
      <c r="K25" s="51"/>
      <c r="L25" s="51"/>
      <c r="M25" s="51"/>
      <c r="O25" s="27" t="s">
        <v>0</v>
      </c>
      <c r="P25" s="27" t="s">
        <v>6</v>
      </c>
      <c r="Q25" s="27" t="s">
        <v>19</v>
      </c>
      <c r="S25" s="36">
        <f t="shared" ref="S25:AB25" si="14">VLOOKUP(S$10&amp;"AllSex"&amp;"Non-Maori"&amp;19,agesextable,7,FALSE)</f>
        <v>10.318814507971201</v>
      </c>
      <c r="T25" s="36">
        <f t="shared" si="14"/>
        <v>11.1639267014209</v>
      </c>
      <c r="U25" s="36">
        <f t="shared" si="14"/>
        <v>10.9175102802797</v>
      </c>
      <c r="V25" s="36">
        <f t="shared" si="14"/>
        <v>10.8724229875909</v>
      </c>
      <c r="W25" s="36">
        <f t="shared" si="14"/>
        <v>9.6064019829245701</v>
      </c>
      <c r="X25" s="36">
        <f t="shared" si="14"/>
        <v>10.8700975052411</v>
      </c>
      <c r="Y25" s="36">
        <f t="shared" si="14"/>
        <v>9.7148957708980408</v>
      </c>
      <c r="Z25" s="36">
        <f t="shared" si="14"/>
        <v>9.8906686786863496</v>
      </c>
      <c r="AA25" s="36">
        <f t="shared" si="14"/>
        <v>9.6236979515482304</v>
      </c>
      <c r="AB25" s="36">
        <f t="shared" si="14"/>
        <v>9.5245939991947992</v>
      </c>
      <c r="AX25" s="284"/>
      <c r="BB25" s="290"/>
      <c r="BC25" s="290"/>
      <c r="BD25" s="283"/>
      <c r="BE25" s="283"/>
      <c r="BF25" s="283"/>
      <c r="BG25" s="245"/>
      <c r="BH25" s="245"/>
      <c r="BI25" s="245"/>
      <c r="BJ25" s="245"/>
      <c r="BK25" s="245"/>
      <c r="BL25" s="245"/>
      <c r="BM25" s="245"/>
      <c r="BN25" s="245"/>
      <c r="BO25" s="245"/>
      <c r="BP25" s="245"/>
      <c r="BQ25" s="245"/>
      <c r="BR25" s="245"/>
      <c r="BS25" s="245"/>
      <c r="BT25" s="245"/>
      <c r="BU25" s="245"/>
    </row>
    <row r="26" spans="1:73" ht="15" x14ac:dyDescent="0.25">
      <c r="A26" s="29"/>
      <c r="B26" s="51"/>
      <c r="C26" s="67" t="s">
        <v>246</v>
      </c>
      <c r="D26" s="51"/>
      <c r="E26" s="51"/>
      <c r="F26" s="51"/>
      <c r="G26" s="51"/>
      <c r="H26" s="51"/>
      <c r="I26" s="51"/>
      <c r="J26" s="51"/>
      <c r="K26" s="51"/>
      <c r="L26" s="51"/>
      <c r="M26" s="51"/>
      <c r="O26" s="27" t="s">
        <v>17</v>
      </c>
      <c r="P26" s="27"/>
      <c r="Q26" s="27"/>
      <c r="S26" s="36">
        <f t="shared" ref="S26:AB26" si="15">VLOOKUP(S$10&amp;"Male"&amp;"Non-Maori"&amp;19,agesextable,7,FALSE)</f>
        <v>16.348296242666599</v>
      </c>
      <c r="T26" s="36">
        <f t="shared" si="15"/>
        <v>17.136851166956198</v>
      </c>
      <c r="U26" s="36">
        <f t="shared" si="15"/>
        <v>17.704891753148601</v>
      </c>
      <c r="V26" s="36">
        <f t="shared" si="15"/>
        <v>16.134328558354198</v>
      </c>
      <c r="W26" s="36">
        <f t="shared" si="15"/>
        <v>15.374728749309</v>
      </c>
      <c r="X26" s="36">
        <f t="shared" si="15"/>
        <v>16.829965457080299</v>
      </c>
      <c r="Y26" s="36">
        <f t="shared" si="15"/>
        <v>14.441701119553899</v>
      </c>
      <c r="Z26" s="36">
        <f t="shared" si="15"/>
        <v>15.1820100358589</v>
      </c>
      <c r="AA26" s="36">
        <f t="shared" si="15"/>
        <v>14.713503479130599</v>
      </c>
      <c r="AB26" s="36">
        <f t="shared" si="15"/>
        <v>14.310220695280099</v>
      </c>
      <c r="BB26" s="290"/>
      <c r="BC26" s="290"/>
    </row>
    <row r="27" spans="1:73" x14ac:dyDescent="0.2">
      <c r="A27" s="29"/>
      <c r="B27" s="51"/>
      <c r="C27" s="51"/>
      <c r="D27" s="51"/>
      <c r="E27" s="51"/>
      <c r="F27" s="51"/>
      <c r="G27" s="51"/>
      <c r="H27" s="51"/>
      <c r="I27" s="51"/>
      <c r="J27" s="51"/>
      <c r="K27" s="51"/>
      <c r="L27" s="51"/>
      <c r="M27" s="51"/>
      <c r="N27" s="29"/>
      <c r="O27" s="23" t="s">
        <v>5</v>
      </c>
      <c r="P27" s="23"/>
      <c r="S27" s="36">
        <f t="shared" ref="S27:AB27" si="16">VLOOKUP(S$10&amp;"Female"&amp;"Non-Maori"&amp;19,agesextable,7,FALSE)</f>
        <v>4.6012421251756503</v>
      </c>
      <c r="T27" s="36">
        <f t="shared" si="16"/>
        <v>5.4589151940525902</v>
      </c>
      <c r="U27" s="36">
        <f t="shared" si="16"/>
        <v>4.4437437379171101</v>
      </c>
      <c r="V27" s="36">
        <f t="shared" si="16"/>
        <v>5.9134650848101904</v>
      </c>
      <c r="W27" s="36">
        <f t="shared" si="16"/>
        <v>4.0833090975863904</v>
      </c>
      <c r="X27" s="36">
        <f t="shared" si="16"/>
        <v>5.1528651892542001</v>
      </c>
      <c r="Y27" s="36">
        <f t="shared" si="16"/>
        <v>5.2765407142672398</v>
      </c>
      <c r="Z27" s="36">
        <f t="shared" si="16"/>
        <v>4.8294233213266304</v>
      </c>
      <c r="AA27" s="36">
        <f t="shared" si="16"/>
        <v>4.7288683499996003</v>
      </c>
      <c r="AB27" s="36">
        <f t="shared" si="16"/>
        <v>4.8570007876246901</v>
      </c>
      <c r="AX27" s="284"/>
      <c r="BB27" s="290"/>
      <c r="BC27" s="290"/>
    </row>
    <row r="28" spans="1:73" x14ac:dyDescent="0.2">
      <c r="A28" s="29"/>
      <c r="B28" s="51"/>
      <c r="C28" s="51"/>
      <c r="D28" s="51"/>
      <c r="E28" s="79" t="s">
        <v>230</v>
      </c>
      <c r="F28" s="51"/>
      <c r="G28" s="51"/>
      <c r="H28" s="51"/>
      <c r="I28" s="51"/>
      <c r="J28" s="79" t="s">
        <v>231</v>
      </c>
      <c r="K28" s="51"/>
      <c r="L28" s="51"/>
      <c r="M28" s="51"/>
      <c r="N28" s="29"/>
      <c r="O28" s="25"/>
      <c r="P28" s="25"/>
      <c r="Q28" s="25"/>
      <c r="R28" s="25"/>
      <c r="S28" s="88"/>
      <c r="T28" s="88"/>
      <c r="U28" s="88"/>
      <c r="V28" s="88"/>
      <c r="W28" s="88"/>
      <c r="X28" s="88"/>
      <c r="Y28" s="88"/>
      <c r="Z28" s="88"/>
      <c r="AA28" s="88"/>
      <c r="AB28" s="88"/>
      <c r="AX28" s="284"/>
      <c r="BB28" s="290"/>
      <c r="BC28" s="290"/>
      <c r="BD28" s="283"/>
      <c r="BE28" s="283"/>
      <c r="BF28" s="283"/>
      <c r="BG28" s="245"/>
      <c r="BH28" s="245"/>
      <c r="BI28" s="245"/>
      <c r="BJ28" s="245"/>
      <c r="BK28" s="245"/>
      <c r="BL28" s="245"/>
      <c r="BM28" s="245"/>
      <c r="BN28" s="245"/>
      <c r="BO28" s="245"/>
      <c r="BP28" s="245"/>
      <c r="BQ28" s="245"/>
      <c r="BR28" s="245"/>
      <c r="BS28" s="245"/>
      <c r="BT28" s="245"/>
      <c r="BU28" s="245"/>
    </row>
    <row r="29" spans="1:73" x14ac:dyDescent="0.2">
      <c r="A29" s="29"/>
      <c r="B29" s="51"/>
      <c r="C29" s="51"/>
      <c r="D29" s="51"/>
      <c r="E29" s="51"/>
      <c r="F29" s="51"/>
      <c r="G29" s="51"/>
      <c r="H29" s="51"/>
      <c r="I29" s="51"/>
      <c r="J29" s="51"/>
      <c r="K29" s="52"/>
      <c r="L29" s="52"/>
      <c r="M29" s="52"/>
      <c r="N29" s="29"/>
      <c r="O29" s="17" t="s">
        <v>91</v>
      </c>
      <c r="P29" s="62" t="s">
        <v>6</v>
      </c>
      <c r="Q29" s="17" t="s">
        <v>73</v>
      </c>
      <c r="S29" s="36">
        <f t="shared" ref="S29:AB29" si="17">S15/S25</f>
        <v>1.5613721064330686</v>
      </c>
      <c r="T29" s="36">
        <f t="shared" si="17"/>
        <v>1.254980558462391</v>
      </c>
      <c r="U29" s="36">
        <f t="shared" si="17"/>
        <v>1.1981685838044269</v>
      </c>
      <c r="V29" s="36">
        <f t="shared" si="17"/>
        <v>1.4537976501126586</v>
      </c>
      <c r="W29" s="36">
        <f t="shared" si="17"/>
        <v>1.8078397188938835</v>
      </c>
      <c r="X29" s="36">
        <f t="shared" si="17"/>
        <v>1.6216201146688267</v>
      </c>
      <c r="Y29" s="36">
        <f t="shared" si="17"/>
        <v>1.6280743944666247</v>
      </c>
      <c r="Z29" s="36">
        <f t="shared" si="17"/>
        <v>1.4735075936173381</v>
      </c>
      <c r="AA29" s="36">
        <f t="shared" si="17"/>
        <v>1.8532854936144987</v>
      </c>
      <c r="AB29" s="36">
        <f t="shared" si="17"/>
        <v>2.1297471147141991</v>
      </c>
      <c r="AX29" s="284"/>
      <c r="BB29" s="290"/>
      <c r="BC29" s="290"/>
      <c r="BD29" s="283"/>
      <c r="BE29" s="283"/>
      <c r="BF29" s="283"/>
      <c r="BG29" s="245"/>
      <c r="BH29" s="245"/>
      <c r="BI29" s="245"/>
      <c r="BJ29" s="245"/>
      <c r="BK29" s="245"/>
      <c r="BL29" s="245"/>
      <c r="BM29" s="245"/>
      <c r="BN29" s="245"/>
      <c r="BO29" s="245"/>
      <c r="BP29" s="245"/>
      <c r="BQ29" s="245"/>
      <c r="BR29" s="245"/>
      <c r="BS29" s="245"/>
      <c r="BT29" s="245"/>
      <c r="BU29" s="245"/>
    </row>
    <row r="30" spans="1:73" x14ac:dyDescent="0.2">
      <c r="A30" s="29"/>
      <c r="B30" s="52"/>
      <c r="C30" s="52"/>
      <c r="D30" s="52"/>
      <c r="E30" s="52"/>
      <c r="F30" s="52"/>
      <c r="G30" s="52"/>
      <c r="H30" s="52"/>
      <c r="I30" s="52"/>
      <c r="J30" s="52"/>
      <c r="K30" s="52"/>
      <c r="L30" s="52"/>
      <c r="M30" s="52"/>
      <c r="N30" s="29"/>
      <c r="O30" s="17" t="s">
        <v>221</v>
      </c>
      <c r="P30" s="50"/>
      <c r="Q30" s="17"/>
      <c r="S30" s="84">
        <f t="shared" ref="S30:AB30" si="18">S16/S17</f>
        <v>3.5722345604401515</v>
      </c>
      <c r="T30" s="84">
        <f t="shared" si="18"/>
        <v>2.2380708147470001</v>
      </c>
      <c r="U30" s="84">
        <f t="shared" si="18"/>
        <v>2.6611082012321936</v>
      </c>
      <c r="V30" s="84">
        <f t="shared" si="18"/>
        <v>2.7090049962046154</v>
      </c>
      <c r="W30" s="84">
        <f t="shared" si="18"/>
        <v>2.8116770861452873</v>
      </c>
      <c r="X30" s="84">
        <f t="shared" si="18"/>
        <v>2.4727558443173714</v>
      </c>
      <c r="Y30" s="84">
        <f t="shared" si="18"/>
        <v>1.9035765945643097</v>
      </c>
      <c r="Z30" s="84">
        <f t="shared" si="18"/>
        <v>2.748787627234432</v>
      </c>
      <c r="AA30" s="84">
        <f t="shared" si="18"/>
        <v>2.2812036842645669</v>
      </c>
      <c r="AB30" s="84">
        <f t="shared" si="18"/>
        <v>3.1263018489674597</v>
      </c>
    </row>
    <row r="31" spans="1:73" x14ac:dyDescent="0.2">
      <c r="A31" s="29"/>
      <c r="B31" s="52"/>
      <c r="C31" s="52"/>
      <c r="D31" s="52"/>
      <c r="E31" s="52"/>
      <c r="F31" s="52"/>
      <c r="G31" s="52"/>
      <c r="H31" s="52"/>
      <c r="I31" s="52"/>
      <c r="J31" s="52"/>
      <c r="K31" s="52"/>
      <c r="L31" s="52"/>
      <c r="M31" s="52"/>
      <c r="N31" s="29"/>
      <c r="O31" s="17" t="s">
        <v>222</v>
      </c>
      <c r="P31" s="50"/>
      <c r="Q31" s="17"/>
      <c r="S31" s="84">
        <f t="shared" ref="S31:AB31" si="19">S16/S26</f>
        <v>1.5851860888056275</v>
      </c>
      <c r="T31" s="84">
        <f t="shared" si="19"/>
        <v>1.1596803214326823</v>
      </c>
      <c r="U31" s="84">
        <f t="shared" si="19"/>
        <v>1.1003252643738199</v>
      </c>
      <c r="V31" s="84">
        <f t="shared" si="19"/>
        <v>1.4682601929012324</v>
      </c>
      <c r="W31" s="84">
        <f t="shared" si="19"/>
        <v>1.7066722924925626</v>
      </c>
      <c r="X31" s="84">
        <f t="shared" si="19"/>
        <v>1.5245411262404758</v>
      </c>
      <c r="Y31" s="84">
        <f t="shared" si="19"/>
        <v>1.4669963413726101</v>
      </c>
      <c r="Z31" s="84">
        <f t="shared" si="19"/>
        <v>1.4500431310121749</v>
      </c>
      <c r="AA31" s="84">
        <f t="shared" si="19"/>
        <v>1.7388000997907138</v>
      </c>
      <c r="AB31" s="84">
        <f t="shared" si="19"/>
        <v>2.2172979510045869</v>
      </c>
    </row>
    <row r="32" spans="1:73" x14ac:dyDescent="0.2">
      <c r="A32" s="29"/>
      <c r="B32" s="52"/>
      <c r="C32" s="52"/>
      <c r="D32" s="52"/>
      <c r="E32" s="52"/>
      <c r="F32" s="52"/>
      <c r="G32" s="52"/>
      <c r="H32" s="52"/>
      <c r="I32" s="52"/>
      <c r="J32" s="52"/>
      <c r="K32" s="52"/>
      <c r="L32" s="52"/>
      <c r="M32" s="52"/>
      <c r="N32" s="29"/>
      <c r="O32" s="17" t="s">
        <v>223</v>
      </c>
      <c r="P32" s="50"/>
      <c r="Q32" s="17"/>
      <c r="S32" s="84">
        <f t="shared" ref="S32:AB32" si="20">S17/S27</f>
        <v>1.5766587168640684</v>
      </c>
      <c r="T32" s="84">
        <f t="shared" si="20"/>
        <v>1.6266313614518271</v>
      </c>
      <c r="U32" s="84">
        <f t="shared" si="20"/>
        <v>1.6474142610589428</v>
      </c>
      <c r="V32" s="84">
        <f t="shared" si="20"/>
        <v>1.4787749262827188</v>
      </c>
      <c r="W32" s="84">
        <f t="shared" si="20"/>
        <v>2.2854930361872627</v>
      </c>
      <c r="X32" s="84">
        <f t="shared" si="20"/>
        <v>2.0136887862740904</v>
      </c>
      <c r="Y32" s="84">
        <f t="shared" si="20"/>
        <v>2.1092484257549926</v>
      </c>
      <c r="Z32" s="84">
        <f t="shared" si="20"/>
        <v>1.6583405955100194</v>
      </c>
      <c r="AA32" s="84">
        <f t="shared" si="20"/>
        <v>2.37161650890426</v>
      </c>
      <c r="AB32" s="84">
        <f t="shared" si="20"/>
        <v>2.089639196140658</v>
      </c>
    </row>
    <row r="33" spans="1:29" x14ac:dyDescent="0.2">
      <c r="A33" s="29"/>
      <c r="B33" s="52"/>
      <c r="C33" s="52"/>
      <c r="D33" s="52"/>
      <c r="E33" s="52"/>
      <c r="F33" s="52"/>
      <c r="G33" s="52"/>
      <c r="H33" s="52"/>
      <c r="I33" s="52"/>
      <c r="J33" s="52"/>
      <c r="K33" s="52"/>
      <c r="L33" s="52"/>
      <c r="M33" s="52"/>
      <c r="N33" s="29"/>
    </row>
    <row r="34" spans="1:29" x14ac:dyDescent="0.2">
      <c r="A34" s="29"/>
      <c r="B34" s="52"/>
      <c r="C34" s="52"/>
      <c r="D34" s="52"/>
      <c r="E34" s="52"/>
      <c r="F34" s="52"/>
      <c r="G34" s="52"/>
      <c r="H34" s="52"/>
      <c r="I34" s="52"/>
      <c r="J34" s="52"/>
      <c r="K34" s="52"/>
      <c r="L34" s="52"/>
      <c r="M34" s="52"/>
      <c r="N34" s="29"/>
      <c r="O34" s="39" t="s">
        <v>224</v>
      </c>
      <c r="P34" s="39"/>
      <c r="Q34" s="128"/>
      <c r="R34" s="128"/>
      <c r="S34" s="118"/>
      <c r="T34" s="118"/>
      <c r="U34" s="118"/>
    </row>
    <row r="35" spans="1:29" x14ac:dyDescent="0.2">
      <c r="A35" s="29"/>
      <c r="B35" s="52"/>
      <c r="C35" s="52"/>
      <c r="D35" s="52"/>
      <c r="E35" s="52"/>
      <c r="F35" s="52"/>
      <c r="G35" s="52"/>
      <c r="H35" s="52"/>
      <c r="I35" s="52"/>
      <c r="J35" s="52"/>
      <c r="K35" s="52"/>
      <c r="L35" s="52"/>
      <c r="M35" s="52"/>
      <c r="N35" s="29"/>
      <c r="O35" s="316" t="s">
        <v>69</v>
      </c>
      <c r="P35" s="317"/>
      <c r="Q35" s="146"/>
      <c r="R35" s="146"/>
      <c r="S35" s="276"/>
      <c r="T35" s="147"/>
      <c r="U35" s="147"/>
      <c r="V35" s="147"/>
      <c r="W35" s="147"/>
      <c r="X35" s="147"/>
      <c r="Y35" s="147"/>
      <c r="Z35" s="147"/>
      <c r="AA35" s="209"/>
      <c r="AB35" s="270"/>
    </row>
    <row r="36" spans="1:29" x14ac:dyDescent="0.2">
      <c r="B36" s="52"/>
      <c r="C36" s="52"/>
      <c r="D36" s="52"/>
      <c r="E36" s="52"/>
      <c r="F36" s="52"/>
      <c r="G36" s="52"/>
      <c r="H36" s="52"/>
      <c r="I36" s="52"/>
      <c r="J36" s="52"/>
      <c r="K36" s="52"/>
      <c r="L36" s="52"/>
      <c r="M36" s="52"/>
      <c r="N36" s="29"/>
    </row>
    <row r="37" spans="1:29" x14ac:dyDescent="0.2">
      <c r="B37" s="52"/>
      <c r="C37" s="52"/>
      <c r="D37" s="52"/>
      <c r="E37" s="52"/>
      <c r="F37" s="52"/>
      <c r="G37" s="52"/>
      <c r="H37" s="52"/>
      <c r="I37" s="52"/>
      <c r="J37" s="52"/>
      <c r="K37" s="51"/>
      <c r="L37" s="52"/>
      <c r="M37" s="52"/>
    </row>
    <row r="38" spans="1:29" x14ac:dyDescent="0.2">
      <c r="B38" s="52"/>
      <c r="C38" s="52"/>
      <c r="D38" s="52"/>
      <c r="E38" s="52"/>
      <c r="F38" s="52"/>
      <c r="G38" s="52"/>
      <c r="H38" s="52"/>
      <c r="I38" s="52"/>
      <c r="J38" s="52"/>
      <c r="K38" s="51"/>
      <c r="L38" s="52"/>
      <c r="M38" s="52"/>
      <c r="N38" s="29"/>
      <c r="O38" s="26"/>
      <c r="P38" s="26"/>
      <c r="Q38" s="27"/>
      <c r="S38" s="85"/>
      <c r="T38" s="85"/>
      <c r="U38" s="85"/>
      <c r="V38" s="85"/>
      <c r="W38" s="85"/>
      <c r="X38" s="85"/>
      <c r="Y38" s="85"/>
      <c r="Z38" s="85"/>
      <c r="AA38" s="89"/>
    </row>
    <row r="39" spans="1:29" ht="30.75" customHeight="1" x14ac:dyDescent="0.2">
      <c r="B39" s="51"/>
      <c r="C39" s="51"/>
      <c r="D39" s="51"/>
      <c r="E39" s="51"/>
      <c r="F39" s="51"/>
      <c r="G39" s="52"/>
      <c r="H39" s="51"/>
      <c r="I39" s="51"/>
      <c r="J39" s="51"/>
      <c r="K39" s="51"/>
      <c r="L39" s="52"/>
      <c r="M39" s="52"/>
      <c r="N39" s="29"/>
    </row>
    <row r="40" spans="1:29" x14ac:dyDescent="0.2">
      <c r="B40" s="51"/>
      <c r="C40" s="51"/>
      <c r="D40" s="51"/>
      <c r="E40" s="51"/>
      <c r="F40" s="51"/>
      <c r="G40" s="52"/>
      <c r="H40" s="51"/>
      <c r="I40" s="51"/>
      <c r="J40" s="51"/>
      <c r="K40" s="51"/>
      <c r="L40" s="52"/>
      <c r="M40" s="52"/>
      <c r="N40" s="29"/>
    </row>
    <row r="41" spans="1:29" x14ac:dyDescent="0.2">
      <c r="B41" s="51"/>
      <c r="C41" s="55" t="s">
        <v>94</v>
      </c>
      <c r="D41" s="59" t="s">
        <v>71</v>
      </c>
      <c r="E41" s="56"/>
      <c r="F41" s="56"/>
      <c r="G41" s="51"/>
      <c r="H41" s="51"/>
      <c r="I41" s="51"/>
      <c r="J41" s="51"/>
      <c r="K41" s="51"/>
      <c r="L41" s="51"/>
      <c r="M41" s="51"/>
    </row>
    <row r="42" spans="1:29" x14ac:dyDescent="0.2">
      <c r="B42" s="51"/>
      <c r="C42" s="55" t="s">
        <v>95</v>
      </c>
      <c r="D42" s="55" t="s">
        <v>96</v>
      </c>
      <c r="E42" s="54"/>
      <c r="F42" s="54"/>
      <c r="G42" s="51"/>
      <c r="H42" s="51"/>
      <c r="I42" s="51"/>
      <c r="J42" s="51"/>
      <c r="K42" s="51"/>
      <c r="L42" s="51"/>
      <c r="M42" s="51"/>
      <c r="O42" s="90" t="s">
        <v>280</v>
      </c>
    </row>
    <row r="43" spans="1:29" x14ac:dyDescent="0.2">
      <c r="B43" s="51"/>
      <c r="C43" s="51"/>
      <c r="D43" s="51"/>
      <c r="E43" s="51"/>
      <c r="F43" s="51"/>
      <c r="G43" s="51"/>
      <c r="H43" s="51"/>
      <c r="I43" s="51"/>
      <c r="J43" s="51"/>
      <c r="K43" s="51"/>
      <c r="L43" s="51"/>
      <c r="M43" s="51"/>
    </row>
    <row r="44" spans="1:29" ht="14.25" customHeight="1" x14ac:dyDescent="0.2"/>
    <row r="45" spans="1:29" ht="15.75" customHeight="1" x14ac:dyDescent="0.25">
      <c r="O45" s="308" t="s">
        <v>284</v>
      </c>
      <c r="P45" s="309"/>
      <c r="Q45" s="309"/>
      <c r="R45" s="309"/>
      <c r="S45" s="309"/>
      <c r="T45" s="309"/>
      <c r="U45" s="309"/>
      <c r="V45" s="309"/>
      <c r="W45" s="309"/>
      <c r="X45" s="309"/>
      <c r="Y45" s="309"/>
      <c r="Z45" s="309"/>
      <c r="AA45" s="309"/>
      <c r="AB45" s="309"/>
      <c r="AC45" s="309"/>
    </row>
    <row r="46" spans="1:29" x14ac:dyDescent="0.2">
      <c r="O46" s="12"/>
      <c r="P46" s="12"/>
      <c r="Q46" s="35"/>
      <c r="R46" s="35"/>
    </row>
    <row r="47" spans="1:29" ht="16.5" customHeight="1" x14ac:dyDescent="0.2">
      <c r="O47" s="30" t="s">
        <v>3</v>
      </c>
    </row>
    <row r="48" spans="1:29" ht="9.75" customHeight="1" x14ac:dyDescent="0.2">
      <c r="O48" s="117" t="s">
        <v>1</v>
      </c>
      <c r="P48" s="86" t="s">
        <v>34</v>
      </c>
      <c r="Q48" s="86"/>
      <c r="S48" s="38">
        <v>2007</v>
      </c>
      <c r="T48" s="38">
        <v>2008</v>
      </c>
      <c r="U48" s="38">
        <v>2009</v>
      </c>
      <c r="V48" s="38">
        <v>2010</v>
      </c>
      <c r="W48" s="38">
        <v>2011</v>
      </c>
      <c r="X48" s="38">
        <v>2012</v>
      </c>
      <c r="Y48" s="38">
        <v>2013</v>
      </c>
      <c r="Z48" s="38">
        <v>2014</v>
      </c>
      <c r="AA48" s="38">
        <v>2015</v>
      </c>
      <c r="AB48" s="38">
        <v>2016</v>
      </c>
    </row>
    <row r="49" spans="1:28" x14ac:dyDescent="0.2">
      <c r="O49" s="27"/>
      <c r="P49" s="23"/>
      <c r="AA49" s="37"/>
    </row>
    <row r="50" spans="1:28" x14ac:dyDescent="0.2">
      <c r="O50" s="27" t="s">
        <v>0</v>
      </c>
      <c r="P50" s="23" t="s">
        <v>98</v>
      </c>
      <c r="Q50" s="23" t="s">
        <v>18</v>
      </c>
      <c r="R50" s="213"/>
      <c r="S50" s="85">
        <f t="shared" ref="S50:AB50" si="21">VLOOKUP(S$48&amp;"AllSex"&amp;"Maori"&amp;22,agesextable,6,FALSE)</f>
        <v>33</v>
      </c>
      <c r="T50" s="85">
        <f t="shared" si="21"/>
        <v>35</v>
      </c>
      <c r="U50" s="85">
        <f t="shared" si="21"/>
        <v>35</v>
      </c>
      <c r="V50" s="85">
        <f t="shared" si="21"/>
        <v>42</v>
      </c>
      <c r="W50" s="85">
        <f t="shared" si="21"/>
        <v>49</v>
      </c>
      <c r="X50" s="85">
        <f t="shared" si="21"/>
        <v>61</v>
      </c>
      <c r="Y50" s="85">
        <f t="shared" si="21"/>
        <v>49</v>
      </c>
      <c r="Z50" s="85">
        <f t="shared" si="21"/>
        <v>28</v>
      </c>
      <c r="AA50" s="85">
        <f t="shared" si="21"/>
        <v>42</v>
      </c>
      <c r="AB50" s="85">
        <f t="shared" si="21"/>
        <v>45</v>
      </c>
    </row>
    <row r="51" spans="1:28" x14ac:dyDescent="0.2">
      <c r="B51" s="51"/>
      <c r="C51" s="51"/>
      <c r="D51" s="51"/>
      <c r="E51" s="51"/>
      <c r="F51" s="51"/>
      <c r="G51" s="51"/>
      <c r="H51" s="51"/>
      <c r="I51" s="51"/>
      <c r="J51" s="51"/>
      <c r="K51" s="51"/>
      <c r="L51" s="51"/>
      <c r="M51" s="51"/>
      <c r="O51" s="27"/>
      <c r="P51" s="23" t="s">
        <v>32</v>
      </c>
      <c r="R51" s="213"/>
      <c r="S51" s="85">
        <f t="shared" ref="S51:AB51" si="22">VLOOKUP(S$48&amp;"AllSex"&amp;"Maori"&amp;23,agesextable,6,FALSE)</f>
        <v>50</v>
      </c>
      <c r="T51" s="85">
        <f t="shared" si="22"/>
        <v>37</v>
      </c>
      <c r="U51" s="85">
        <f t="shared" si="22"/>
        <v>31</v>
      </c>
      <c r="V51" s="85">
        <f t="shared" si="22"/>
        <v>41</v>
      </c>
      <c r="W51" s="85">
        <f t="shared" si="22"/>
        <v>44</v>
      </c>
      <c r="X51" s="85">
        <f t="shared" si="22"/>
        <v>39</v>
      </c>
      <c r="Y51" s="85">
        <f t="shared" si="22"/>
        <v>44</v>
      </c>
      <c r="Z51" s="85">
        <f t="shared" si="22"/>
        <v>51</v>
      </c>
      <c r="AA51" s="85">
        <f t="shared" si="22"/>
        <v>54</v>
      </c>
      <c r="AB51" s="85">
        <f t="shared" si="22"/>
        <v>59</v>
      </c>
    </row>
    <row r="52" spans="1:28" ht="16.5" customHeight="1" x14ac:dyDescent="0.25">
      <c r="A52" s="29"/>
      <c r="B52" s="51"/>
      <c r="C52" s="313" t="s">
        <v>234</v>
      </c>
      <c r="D52" s="306"/>
      <c r="E52" s="306"/>
      <c r="F52" s="306"/>
      <c r="G52" s="306"/>
      <c r="H52" s="306"/>
      <c r="I52" s="306"/>
      <c r="J52" s="306"/>
      <c r="K52" s="306"/>
      <c r="L52" s="306"/>
      <c r="M52" s="71"/>
      <c r="O52" s="27"/>
      <c r="P52" s="23" t="s">
        <v>33</v>
      </c>
      <c r="R52" s="213"/>
      <c r="S52" s="85">
        <f t="shared" ref="S52:AB52" si="23">VLOOKUP(S$48&amp;"AllSex"&amp;"Maori"&amp;24,agesextable,6,FALSE)</f>
        <v>12</v>
      </c>
      <c r="T52" s="85">
        <f t="shared" si="23"/>
        <v>10</v>
      </c>
      <c r="U52" s="85">
        <f t="shared" si="23"/>
        <v>11</v>
      </c>
      <c r="V52" s="85">
        <f t="shared" si="23"/>
        <v>15</v>
      </c>
      <c r="W52" s="85">
        <f t="shared" si="23"/>
        <v>16</v>
      </c>
      <c r="X52" s="85">
        <f t="shared" si="23"/>
        <v>10</v>
      </c>
      <c r="Y52" s="85">
        <f t="shared" si="23"/>
        <v>10</v>
      </c>
      <c r="Z52" s="85">
        <f t="shared" si="23"/>
        <v>11</v>
      </c>
      <c r="AA52" s="85">
        <f t="shared" si="23"/>
        <v>18</v>
      </c>
      <c r="AB52" s="85">
        <f t="shared" si="23"/>
        <v>23</v>
      </c>
    </row>
    <row r="53" spans="1:28" ht="16.5" customHeight="1" x14ac:dyDescent="0.25">
      <c r="A53" s="29"/>
      <c r="B53" s="51"/>
      <c r="C53" s="313" t="s">
        <v>247</v>
      </c>
      <c r="D53" s="306"/>
      <c r="E53" s="306"/>
      <c r="F53" s="306"/>
      <c r="G53" s="306"/>
      <c r="H53" s="306"/>
      <c r="I53" s="306"/>
      <c r="J53" s="306"/>
      <c r="K53" s="306"/>
      <c r="L53" s="306"/>
      <c r="M53" s="51"/>
      <c r="O53" s="27"/>
      <c r="P53" s="23" t="s">
        <v>23</v>
      </c>
      <c r="R53" s="213"/>
      <c r="S53" s="85">
        <f t="shared" ref="S53:AB53" si="24">VLOOKUP(S$48&amp;"AllSex"&amp;"Maori"&amp;25,agesextable,6,FALSE)</f>
        <v>1</v>
      </c>
      <c r="T53" s="85">
        <f t="shared" si="24"/>
        <v>1</v>
      </c>
      <c r="U53" s="85">
        <f t="shared" si="24"/>
        <v>1</v>
      </c>
      <c r="V53" s="85">
        <f t="shared" si="24"/>
        <v>0</v>
      </c>
      <c r="W53" s="85">
        <f t="shared" si="24"/>
        <v>0</v>
      </c>
      <c r="X53" s="85">
        <f t="shared" si="24"/>
        <v>1</v>
      </c>
      <c r="Y53" s="85">
        <f t="shared" si="24"/>
        <v>0</v>
      </c>
      <c r="Z53" s="85">
        <f t="shared" si="24"/>
        <v>0</v>
      </c>
      <c r="AA53" s="85">
        <f t="shared" si="24"/>
        <v>0</v>
      </c>
      <c r="AB53" s="85">
        <f t="shared" si="24"/>
        <v>4</v>
      </c>
    </row>
    <row r="54" spans="1:28" ht="18" customHeight="1" x14ac:dyDescent="0.2">
      <c r="A54" s="29"/>
      <c r="B54" s="51"/>
      <c r="C54" s="51"/>
      <c r="D54" s="51"/>
      <c r="E54" s="79" t="s">
        <v>228</v>
      </c>
      <c r="F54" s="51"/>
      <c r="G54" s="51"/>
      <c r="H54" s="51"/>
      <c r="I54" s="51"/>
      <c r="J54" s="79" t="s">
        <v>229</v>
      </c>
      <c r="K54" s="51"/>
      <c r="L54" s="51"/>
      <c r="M54" s="51"/>
      <c r="O54" s="25"/>
      <c r="P54" s="25"/>
      <c r="Q54" s="25"/>
      <c r="R54" s="214"/>
      <c r="S54" s="88"/>
      <c r="T54" s="88"/>
      <c r="U54" s="88"/>
      <c r="V54" s="88"/>
      <c r="W54" s="88"/>
      <c r="X54" s="88"/>
      <c r="Y54" s="88"/>
      <c r="Z54" s="88"/>
      <c r="AA54" s="88"/>
      <c r="AB54" s="88"/>
    </row>
    <row r="55" spans="1:28" x14ac:dyDescent="0.2">
      <c r="A55" s="29"/>
      <c r="B55" s="51"/>
      <c r="C55" s="51"/>
      <c r="D55" s="51"/>
      <c r="E55" s="51"/>
      <c r="F55" s="51"/>
      <c r="G55" s="51"/>
      <c r="H55" s="51"/>
      <c r="I55" s="51"/>
      <c r="J55" s="51"/>
      <c r="K55" s="51"/>
      <c r="L55" s="51"/>
      <c r="M55" s="51"/>
      <c r="O55" s="23" t="s">
        <v>17</v>
      </c>
      <c r="P55" s="23" t="s">
        <v>98</v>
      </c>
      <c r="Q55" s="23" t="s">
        <v>18</v>
      </c>
      <c r="R55" s="213"/>
      <c r="S55" s="85">
        <f t="shared" ref="S55:AB55" si="25">VLOOKUP(S$48&amp;"Male"&amp;"Maori"&amp;22,agesextable,6,FALSE)</f>
        <v>23</v>
      </c>
      <c r="T55" s="85">
        <f t="shared" si="25"/>
        <v>17</v>
      </c>
      <c r="U55" s="85">
        <f t="shared" si="25"/>
        <v>24</v>
      </c>
      <c r="V55" s="85">
        <f t="shared" si="25"/>
        <v>27</v>
      </c>
      <c r="W55" s="85">
        <f t="shared" si="25"/>
        <v>33</v>
      </c>
      <c r="X55" s="85">
        <f t="shared" si="25"/>
        <v>37</v>
      </c>
      <c r="Y55" s="85">
        <f t="shared" si="25"/>
        <v>29</v>
      </c>
      <c r="Z55" s="85">
        <f t="shared" si="25"/>
        <v>20</v>
      </c>
      <c r="AA55" s="85">
        <f t="shared" si="25"/>
        <v>20</v>
      </c>
      <c r="AB55" s="85">
        <f t="shared" si="25"/>
        <v>34</v>
      </c>
    </row>
    <row r="56" spans="1:28" x14ac:dyDescent="0.2">
      <c r="A56" s="29"/>
      <c r="B56" s="51"/>
      <c r="C56" s="51"/>
      <c r="D56" s="51"/>
      <c r="E56" s="51"/>
      <c r="F56" s="51"/>
      <c r="G56" s="51"/>
      <c r="H56" s="51"/>
      <c r="I56" s="51"/>
      <c r="J56" s="51"/>
      <c r="K56" s="51"/>
      <c r="L56" s="51"/>
      <c r="M56" s="51"/>
      <c r="O56" s="23"/>
      <c r="P56" s="23" t="s">
        <v>32</v>
      </c>
      <c r="R56" s="213"/>
      <c r="S56" s="85">
        <f t="shared" ref="S56:AB56" si="26">VLOOKUP(S$48&amp;"Male"&amp;"Maori"&amp;23,agesextable,6,FALSE)</f>
        <v>39</v>
      </c>
      <c r="T56" s="85">
        <f t="shared" si="26"/>
        <v>28</v>
      </c>
      <c r="U56" s="85">
        <f t="shared" si="26"/>
        <v>23</v>
      </c>
      <c r="V56" s="85">
        <f t="shared" si="26"/>
        <v>32</v>
      </c>
      <c r="W56" s="85">
        <f t="shared" si="26"/>
        <v>33</v>
      </c>
      <c r="X56" s="85">
        <f t="shared" si="26"/>
        <v>30</v>
      </c>
      <c r="Y56" s="85">
        <f t="shared" si="26"/>
        <v>31</v>
      </c>
      <c r="Z56" s="85">
        <f t="shared" si="26"/>
        <v>36</v>
      </c>
      <c r="AA56" s="85">
        <f t="shared" si="26"/>
        <v>40</v>
      </c>
      <c r="AB56" s="85">
        <f t="shared" si="26"/>
        <v>44</v>
      </c>
    </row>
    <row r="57" spans="1:28" x14ac:dyDescent="0.2">
      <c r="A57" s="29"/>
      <c r="B57" s="51"/>
      <c r="C57" s="51"/>
      <c r="D57" s="51"/>
      <c r="E57" s="51"/>
      <c r="F57" s="51"/>
      <c r="G57" s="51"/>
      <c r="H57" s="51"/>
      <c r="I57" s="51"/>
      <c r="J57" s="51"/>
      <c r="K57" s="51"/>
      <c r="L57" s="51"/>
      <c r="M57" s="51"/>
      <c r="O57" s="23"/>
      <c r="P57" s="23" t="s">
        <v>33</v>
      </c>
      <c r="R57" s="213"/>
      <c r="S57" s="85">
        <f t="shared" ref="S57:AB57" si="27">VLOOKUP(S$48&amp;"Male"&amp;"Maori"&amp;24,agesextable,6,FALSE)</f>
        <v>11</v>
      </c>
      <c r="T57" s="85">
        <f t="shared" si="27"/>
        <v>8</v>
      </c>
      <c r="U57" s="85">
        <f t="shared" si="27"/>
        <v>7</v>
      </c>
      <c r="V57" s="85">
        <f t="shared" si="27"/>
        <v>11</v>
      </c>
      <c r="W57" s="85">
        <f t="shared" si="27"/>
        <v>13</v>
      </c>
      <c r="X57" s="85">
        <f t="shared" si="27"/>
        <v>9</v>
      </c>
      <c r="Y57" s="85">
        <f t="shared" si="27"/>
        <v>5</v>
      </c>
      <c r="Z57" s="85">
        <f t="shared" si="27"/>
        <v>9</v>
      </c>
      <c r="AA57" s="85">
        <f t="shared" si="27"/>
        <v>15</v>
      </c>
      <c r="AB57" s="85">
        <f t="shared" si="27"/>
        <v>15</v>
      </c>
    </row>
    <row r="58" spans="1:28" x14ac:dyDescent="0.2">
      <c r="B58" s="51"/>
      <c r="C58" s="51"/>
      <c r="D58" s="51"/>
      <c r="E58" s="51"/>
      <c r="F58" s="51"/>
      <c r="G58" s="51"/>
      <c r="H58" s="51"/>
      <c r="I58" s="51"/>
      <c r="J58" s="51"/>
      <c r="K58" s="51"/>
      <c r="L58" s="51"/>
      <c r="M58" s="51"/>
      <c r="O58" s="23"/>
      <c r="P58" s="23" t="s">
        <v>23</v>
      </c>
      <c r="R58" s="213"/>
      <c r="S58" s="85">
        <f t="shared" ref="S58:AB58" si="28">VLOOKUP(S$48&amp;"Male"&amp;"Maori"&amp;25,agesextable,6,FALSE)</f>
        <v>1</v>
      </c>
      <c r="T58" s="85">
        <f t="shared" si="28"/>
        <v>1</v>
      </c>
      <c r="U58" s="85">
        <f t="shared" si="28"/>
        <v>1</v>
      </c>
      <c r="V58" s="85">
        <f t="shared" si="28"/>
        <v>0</v>
      </c>
      <c r="W58" s="85">
        <f t="shared" si="28"/>
        <v>0</v>
      </c>
      <c r="X58" s="85">
        <f t="shared" si="28"/>
        <v>1</v>
      </c>
      <c r="Y58" s="85">
        <f t="shared" si="28"/>
        <v>0</v>
      </c>
      <c r="Z58" s="85">
        <f t="shared" si="28"/>
        <v>0</v>
      </c>
      <c r="AA58" s="85">
        <f t="shared" si="28"/>
        <v>0</v>
      </c>
      <c r="AB58" s="85">
        <f t="shared" si="28"/>
        <v>4</v>
      </c>
    </row>
    <row r="59" spans="1:28" x14ac:dyDescent="0.2">
      <c r="B59" s="51"/>
      <c r="C59" s="51"/>
      <c r="D59" s="51"/>
      <c r="E59" s="51"/>
      <c r="F59" s="51"/>
      <c r="G59" s="51"/>
      <c r="H59" s="51"/>
      <c r="I59" s="51"/>
      <c r="J59" s="51"/>
      <c r="K59" s="51"/>
      <c r="L59" s="51"/>
      <c r="M59" s="51"/>
      <c r="O59" s="25"/>
      <c r="P59" s="25"/>
      <c r="Q59" s="25"/>
      <c r="R59" s="214"/>
      <c r="S59" s="88"/>
      <c r="T59" s="88"/>
      <c r="U59" s="88"/>
      <c r="V59" s="88"/>
      <c r="W59" s="88"/>
      <c r="X59" s="88"/>
      <c r="Y59" s="88"/>
      <c r="Z59" s="88"/>
      <c r="AA59" s="88"/>
      <c r="AB59" s="88"/>
    </row>
    <row r="60" spans="1:28" x14ac:dyDescent="0.2">
      <c r="B60" s="51"/>
      <c r="C60" s="51"/>
      <c r="D60" s="51"/>
      <c r="E60" s="51"/>
      <c r="F60" s="51"/>
      <c r="G60" s="51"/>
      <c r="H60" s="51"/>
      <c r="I60" s="51"/>
      <c r="J60" s="51"/>
      <c r="K60" s="51"/>
      <c r="L60" s="51"/>
      <c r="M60" s="51"/>
      <c r="O60" s="23" t="s">
        <v>5</v>
      </c>
      <c r="P60" s="23" t="s">
        <v>98</v>
      </c>
      <c r="Q60" s="23" t="s">
        <v>18</v>
      </c>
      <c r="R60" s="213"/>
      <c r="S60" s="85">
        <f t="shared" ref="S60:AB60" si="29">VLOOKUP(S$48&amp;"Female"&amp;"Maori"&amp;22,agesextable,6,FALSE)</f>
        <v>10</v>
      </c>
      <c r="T60" s="85">
        <f t="shared" si="29"/>
        <v>18</v>
      </c>
      <c r="U60" s="85">
        <f t="shared" si="29"/>
        <v>11</v>
      </c>
      <c r="V60" s="85">
        <f t="shared" si="29"/>
        <v>15</v>
      </c>
      <c r="W60" s="85">
        <f t="shared" si="29"/>
        <v>16</v>
      </c>
      <c r="X60" s="85">
        <f t="shared" si="29"/>
        <v>24</v>
      </c>
      <c r="Y60" s="85">
        <f t="shared" si="29"/>
        <v>20</v>
      </c>
      <c r="Z60" s="85">
        <f t="shared" si="29"/>
        <v>8</v>
      </c>
      <c r="AA60" s="85">
        <f t="shared" si="29"/>
        <v>22</v>
      </c>
      <c r="AB60" s="85">
        <f t="shared" si="29"/>
        <v>11</v>
      </c>
    </row>
    <row r="61" spans="1:28" x14ac:dyDescent="0.2">
      <c r="B61" s="51"/>
      <c r="C61" s="51"/>
      <c r="D61" s="51"/>
      <c r="E61" s="51"/>
      <c r="F61" s="51"/>
      <c r="G61" s="51"/>
      <c r="H61" s="51"/>
      <c r="I61" s="51"/>
      <c r="J61" s="51"/>
      <c r="K61" s="51"/>
      <c r="L61" s="51"/>
      <c r="M61" s="51"/>
      <c r="O61" s="23"/>
      <c r="P61" s="23" t="s">
        <v>32</v>
      </c>
      <c r="R61" s="213"/>
      <c r="S61" s="85">
        <f t="shared" ref="S61:AB61" si="30">VLOOKUP(S$48&amp;"Female"&amp;"Maori"&amp;23,agesextable,6,FALSE)</f>
        <v>11</v>
      </c>
      <c r="T61" s="85">
        <f t="shared" si="30"/>
        <v>9</v>
      </c>
      <c r="U61" s="85">
        <f t="shared" si="30"/>
        <v>8</v>
      </c>
      <c r="V61" s="85">
        <f t="shared" si="30"/>
        <v>9</v>
      </c>
      <c r="W61" s="85">
        <f t="shared" si="30"/>
        <v>11</v>
      </c>
      <c r="X61" s="85">
        <f t="shared" si="30"/>
        <v>9</v>
      </c>
      <c r="Y61" s="85">
        <f t="shared" si="30"/>
        <v>13</v>
      </c>
      <c r="Z61" s="85">
        <f t="shared" si="30"/>
        <v>15</v>
      </c>
      <c r="AA61" s="85">
        <f t="shared" si="30"/>
        <v>14</v>
      </c>
      <c r="AB61" s="85">
        <f t="shared" si="30"/>
        <v>15</v>
      </c>
    </row>
    <row r="62" spans="1:28" x14ac:dyDescent="0.2">
      <c r="B62" s="51"/>
      <c r="C62" s="51"/>
      <c r="D62" s="51"/>
      <c r="E62" s="51"/>
      <c r="F62" s="51"/>
      <c r="G62" s="51"/>
      <c r="H62" s="51"/>
      <c r="I62" s="51"/>
      <c r="J62" s="51"/>
      <c r="K62" s="51"/>
      <c r="L62" s="51"/>
      <c r="M62" s="51"/>
      <c r="O62" s="23"/>
      <c r="P62" s="23" t="s">
        <v>33</v>
      </c>
      <c r="R62" s="213"/>
      <c r="S62" s="85">
        <f t="shared" ref="S62:AB62" si="31">VLOOKUP(S$48&amp;"Female"&amp;"Maori"&amp;24,agesextable,6,FALSE)</f>
        <v>1</v>
      </c>
      <c r="T62" s="85">
        <f t="shared" si="31"/>
        <v>2</v>
      </c>
      <c r="U62" s="85">
        <f t="shared" si="31"/>
        <v>4</v>
      </c>
      <c r="V62" s="85">
        <f t="shared" si="31"/>
        <v>4</v>
      </c>
      <c r="W62" s="85">
        <f t="shared" si="31"/>
        <v>3</v>
      </c>
      <c r="X62" s="85">
        <f t="shared" si="31"/>
        <v>1</v>
      </c>
      <c r="Y62" s="85">
        <f t="shared" si="31"/>
        <v>5</v>
      </c>
      <c r="Z62" s="85">
        <f t="shared" si="31"/>
        <v>2</v>
      </c>
      <c r="AA62" s="85">
        <f t="shared" si="31"/>
        <v>3</v>
      </c>
      <c r="AB62" s="85">
        <f t="shared" si="31"/>
        <v>8</v>
      </c>
    </row>
    <row r="63" spans="1:28" x14ac:dyDescent="0.2">
      <c r="B63" s="51"/>
      <c r="C63" s="51"/>
      <c r="D63" s="51"/>
      <c r="E63" s="51"/>
      <c r="F63" s="51"/>
      <c r="G63" s="51"/>
      <c r="H63" s="51"/>
      <c r="I63" s="51"/>
      <c r="J63" s="51"/>
      <c r="K63" s="52"/>
      <c r="L63" s="51"/>
      <c r="M63" s="51"/>
      <c r="O63" s="23"/>
      <c r="P63" s="23" t="s">
        <v>23</v>
      </c>
      <c r="R63" s="213"/>
      <c r="S63" s="85">
        <f t="shared" ref="S63:AB63" si="32">VLOOKUP(S$48&amp;"Female"&amp;"Maori"&amp;25,agesextable,6,FALSE)</f>
        <v>0</v>
      </c>
      <c r="T63" s="85">
        <f t="shared" si="32"/>
        <v>0</v>
      </c>
      <c r="U63" s="85">
        <f t="shared" si="32"/>
        <v>0</v>
      </c>
      <c r="V63" s="85">
        <f t="shared" si="32"/>
        <v>0</v>
      </c>
      <c r="W63" s="85">
        <f t="shared" si="32"/>
        <v>0</v>
      </c>
      <c r="X63" s="85">
        <f t="shared" si="32"/>
        <v>0</v>
      </c>
      <c r="Y63" s="85">
        <f t="shared" si="32"/>
        <v>0</v>
      </c>
      <c r="Z63" s="85">
        <f t="shared" si="32"/>
        <v>0</v>
      </c>
      <c r="AA63" s="85">
        <f t="shared" si="32"/>
        <v>0</v>
      </c>
      <c r="AB63" s="85">
        <f t="shared" si="32"/>
        <v>0</v>
      </c>
    </row>
    <row r="64" spans="1:28" x14ac:dyDescent="0.2">
      <c r="B64" s="51"/>
      <c r="C64" s="51"/>
      <c r="D64" s="51"/>
      <c r="E64" s="51"/>
      <c r="F64" s="51"/>
      <c r="G64" s="51"/>
      <c r="H64" s="51"/>
      <c r="I64" s="51"/>
      <c r="J64" s="51"/>
      <c r="K64" s="52"/>
      <c r="L64" s="51"/>
      <c r="M64" s="51"/>
      <c r="O64" s="25"/>
      <c r="P64" s="25"/>
      <c r="Q64" s="25"/>
      <c r="R64" s="214"/>
      <c r="S64" s="88"/>
      <c r="T64" s="88"/>
      <c r="U64" s="88"/>
      <c r="V64" s="88"/>
      <c r="W64" s="88"/>
      <c r="X64" s="88"/>
      <c r="Y64" s="88"/>
      <c r="Z64" s="88"/>
      <c r="AA64" s="88"/>
      <c r="AB64" s="88"/>
    </row>
    <row r="65" spans="2:28" x14ac:dyDescent="0.2">
      <c r="B65" s="51"/>
      <c r="C65" s="55"/>
      <c r="D65" s="51"/>
      <c r="E65" s="56"/>
      <c r="F65" s="56"/>
      <c r="G65" s="52"/>
      <c r="H65" s="51"/>
      <c r="I65" s="51"/>
      <c r="J65" s="51"/>
      <c r="K65" s="52"/>
      <c r="L65" s="51"/>
      <c r="M65" s="51"/>
      <c r="O65" s="23" t="s">
        <v>0</v>
      </c>
      <c r="P65" s="23" t="s">
        <v>98</v>
      </c>
      <c r="Q65" s="23" t="s">
        <v>19</v>
      </c>
      <c r="R65" s="213"/>
      <c r="S65" s="36">
        <f t="shared" ref="S65:AB65" si="33">IF(S50&lt;5,"-",VLOOKUP(S$48&amp;"AllSex"&amp;"Maori"&amp;22,agesextable,7,FALSE))</f>
        <v>27.961362480935399</v>
      </c>
      <c r="T65" s="36">
        <f t="shared" si="33"/>
        <v>29.247096181164899</v>
      </c>
      <c r="U65" s="36">
        <f t="shared" si="33"/>
        <v>28.863598878443</v>
      </c>
      <c r="V65" s="36">
        <f t="shared" si="33"/>
        <v>34.126919639229698</v>
      </c>
      <c r="W65" s="36">
        <f t="shared" si="33"/>
        <v>39.319531375381203</v>
      </c>
      <c r="X65" s="36">
        <f t="shared" si="33"/>
        <v>48.389655719498698</v>
      </c>
      <c r="Y65" s="36">
        <f t="shared" si="33"/>
        <v>38.3531621790858</v>
      </c>
      <c r="Z65" s="36">
        <f t="shared" si="33"/>
        <v>21.611608521148501</v>
      </c>
      <c r="AA65" s="36">
        <f t="shared" si="33"/>
        <v>31.7989097516657</v>
      </c>
      <c r="AB65" s="36">
        <f t="shared" si="33"/>
        <v>33.554544776675897</v>
      </c>
    </row>
    <row r="66" spans="2:28" ht="15" customHeight="1" x14ac:dyDescent="0.2">
      <c r="B66" s="52"/>
      <c r="C66" s="51"/>
      <c r="D66" s="51"/>
      <c r="E66" s="51"/>
      <c r="F66" s="51"/>
      <c r="G66" s="52"/>
      <c r="H66" s="52"/>
      <c r="I66" s="52"/>
      <c r="J66" s="52"/>
      <c r="K66" s="52"/>
      <c r="L66" s="51"/>
      <c r="M66" s="51"/>
      <c r="O66" s="23"/>
      <c r="P66" s="23" t="s">
        <v>32</v>
      </c>
      <c r="R66" s="213"/>
      <c r="S66" s="36">
        <f t="shared" ref="S66:AB66" si="34">IF(S51&lt;5,"-",VLOOKUP(S$48&amp;"AllSex"&amp;"Maori"&amp;23,agesextable,7,FALSE))</f>
        <v>29.570051451889501</v>
      </c>
      <c r="T66" s="36">
        <f t="shared" si="34"/>
        <v>22.0277430493541</v>
      </c>
      <c r="U66" s="36">
        <f t="shared" si="34"/>
        <v>18.520731270163701</v>
      </c>
      <c r="V66" s="36">
        <f t="shared" si="34"/>
        <v>24.4863831820354</v>
      </c>
      <c r="W66" s="36">
        <f t="shared" si="34"/>
        <v>26.256116481680401</v>
      </c>
      <c r="X66" s="36">
        <f t="shared" si="34"/>
        <v>23.2641374373658</v>
      </c>
      <c r="Y66" s="36">
        <f t="shared" si="34"/>
        <v>26.227944682880299</v>
      </c>
      <c r="Z66" s="36">
        <f t="shared" si="34"/>
        <v>30.236556589790698</v>
      </c>
      <c r="AA66" s="36">
        <f t="shared" si="34"/>
        <v>31.665982525068902</v>
      </c>
      <c r="AB66" s="36">
        <f t="shared" si="34"/>
        <v>34.173182739646698</v>
      </c>
    </row>
    <row r="67" spans="2:28" x14ac:dyDescent="0.2">
      <c r="B67" s="52"/>
      <c r="C67" s="51"/>
      <c r="D67" s="51"/>
      <c r="E67" s="51"/>
      <c r="F67" s="51"/>
      <c r="G67" s="52"/>
      <c r="H67" s="52"/>
      <c r="I67" s="52"/>
      <c r="J67" s="52"/>
      <c r="K67" s="52"/>
      <c r="L67" s="51"/>
      <c r="M67" s="51"/>
      <c r="O67" s="23"/>
      <c r="P67" s="23" t="s">
        <v>33</v>
      </c>
      <c r="R67" s="213"/>
      <c r="S67" s="36">
        <f t="shared" ref="S67:AB67" si="35">IF(S52&lt;5,"-",VLOOKUP(S$48&amp;"AllSex"&amp;"Maori"&amp;24,agesextable,7,FALSE))</f>
        <v>11.773940345368899</v>
      </c>
      <c r="T67" s="36">
        <f t="shared" si="35"/>
        <v>9.3624192491339802</v>
      </c>
      <c r="U67" s="36">
        <f t="shared" si="35"/>
        <v>9.8858632156016899</v>
      </c>
      <c r="V67" s="36">
        <f t="shared" si="35"/>
        <v>12.978023879563899</v>
      </c>
      <c r="W67" s="36">
        <f t="shared" si="35"/>
        <v>13.3723359799415</v>
      </c>
      <c r="X67" s="36">
        <f t="shared" si="35"/>
        <v>8.08865162177465</v>
      </c>
      <c r="Y67" s="36">
        <f t="shared" si="35"/>
        <v>7.8492935635792804</v>
      </c>
      <c r="Z67" s="36">
        <f t="shared" si="35"/>
        <v>8.4207303069738995</v>
      </c>
      <c r="AA67" s="36">
        <f t="shared" si="35"/>
        <v>13.474062429822601</v>
      </c>
      <c r="AB67" s="36">
        <f t="shared" si="35"/>
        <v>16.806722689075599</v>
      </c>
    </row>
    <row r="68" spans="2:28" x14ac:dyDescent="0.2">
      <c r="B68" s="51"/>
      <c r="C68" s="51"/>
      <c r="D68" s="51"/>
      <c r="E68" s="54"/>
      <c r="F68" s="54"/>
      <c r="G68" s="51"/>
      <c r="H68" s="51"/>
      <c r="I68" s="51"/>
      <c r="J68" s="51"/>
      <c r="K68" s="51"/>
      <c r="L68" s="51"/>
      <c r="M68" s="51"/>
      <c r="O68" s="23"/>
      <c r="P68" s="23" t="s">
        <v>23</v>
      </c>
      <c r="R68" s="213"/>
      <c r="S68" s="36" t="str">
        <f t="shared" ref="S68:AB68" si="36">IF(S53&lt;5,"-",VLOOKUP(S$48&amp;"AllSex"&amp;"Maori"&amp;25,agesextable,7,FALSE))</f>
        <v>-</v>
      </c>
      <c r="T68" s="36" t="str">
        <f t="shared" si="36"/>
        <v>-</v>
      </c>
      <c r="U68" s="36" t="str">
        <f t="shared" si="36"/>
        <v>-</v>
      </c>
      <c r="V68" s="36" t="str">
        <f t="shared" si="36"/>
        <v>-</v>
      </c>
      <c r="W68" s="36" t="str">
        <f t="shared" si="36"/>
        <v>-</v>
      </c>
      <c r="X68" s="36" t="str">
        <f t="shared" si="36"/>
        <v>-</v>
      </c>
      <c r="Y68" s="36" t="str">
        <f t="shared" si="36"/>
        <v>-</v>
      </c>
      <c r="Z68" s="36" t="str">
        <f t="shared" si="36"/>
        <v>-</v>
      </c>
      <c r="AA68" s="36" t="str">
        <f t="shared" si="36"/>
        <v>-</v>
      </c>
      <c r="AB68" s="36" t="str">
        <f t="shared" si="36"/>
        <v>-</v>
      </c>
    </row>
    <row r="69" spans="2:28" x14ac:dyDescent="0.2">
      <c r="B69" s="51"/>
      <c r="C69" s="59" t="s">
        <v>94</v>
      </c>
      <c r="D69" s="55" t="s">
        <v>70</v>
      </c>
      <c r="E69" s="51"/>
      <c r="F69" s="51"/>
      <c r="G69" s="51"/>
      <c r="H69" s="51"/>
      <c r="I69" s="51"/>
      <c r="J69" s="51"/>
      <c r="K69" s="51"/>
      <c r="L69" s="51"/>
      <c r="M69" s="51"/>
      <c r="O69" s="25"/>
      <c r="P69" s="25"/>
      <c r="Q69" s="25"/>
      <c r="R69" s="214"/>
      <c r="S69" s="32"/>
      <c r="T69" s="32"/>
      <c r="U69" s="32"/>
      <c r="V69" s="32"/>
      <c r="W69" s="32"/>
      <c r="X69" s="32"/>
      <c r="Y69" s="32"/>
      <c r="Z69" s="32"/>
      <c r="AA69" s="32"/>
      <c r="AB69" s="32"/>
    </row>
    <row r="70" spans="2:28" x14ac:dyDescent="0.2">
      <c r="B70" s="51"/>
      <c r="C70" s="55" t="s">
        <v>97</v>
      </c>
      <c r="D70" s="174" t="s">
        <v>96</v>
      </c>
      <c r="E70" s="51"/>
      <c r="F70" s="51"/>
      <c r="G70" s="51"/>
      <c r="H70" s="51"/>
      <c r="I70" s="51"/>
      <c r="J70" s="51"/>
      <c r="K70" s="51"/>
      <c r="L70" s="51"/>
      <c r="M70" s="51"/>
      <c r="O70" s="23" t="s">
        <v>17</v>
      </c>
      <c r="P70" s="23" t="s">
        <v>98</v>
      </c>
      <c r="Q70" s="23" t="s">
        <v>19</v>
      </c>
      <c r="R70" s="213"/>
      <c r="S70" s="36">
        <f t="shared" ref="S70:AB70" si="37">IF(S55&lt;5, "-",VLOOKUP(S$48&amp;"Male"&amp;"Maori"&amp;22,agesextable,7,FALSE))</f>
        <v>39.593733861249802</v>
      </c>
      <c r="T70" s="36">
        <f t="shared" si="37"/>
        <v>28.857579358343202</v>
      </c>
      <c r="U70" s="36">
        <f t="shared" si="37"/>
        <v>40.140491721023601</v>
      </c>
      <c r="V70" s="36">
        <f t="shared" si="37"/>
        <v>44.437129690585898</v>
      </c>
      <c r="W70" s="36">
        <f t="shared" si="37"/>
        <v>53.519299383717197</v>
      </c>
      <c r="X70" s="36">
        <f t="shared" si="37"/>
        <v>59.247397918334698</v>
      </c>
      <c r="Y70" s="36">
        <f t="shared" si="37"/>
        <v>45.597484276729602</v>
      </c>
      <c r="Z70" s="36">
        <f t="shared" si="37"/>
        <v>30.736130321192601</v>
      </c>
      <c r="AA70" s="36">
        <f t="shared" si="37"/>
        <v>29.899835550904498</v>
      </c>
      <c r="AB70" s="36">
        <f t="shared" si="37"/>
        <v>49.773093251354098</v>
      </c>
    </row>
    <row r="71" spans="2:28" x14ac:dyDescent="0.2">
      <c r="B71" s="51"/>
      <c r="C71" s="51"/>
      <c r="D71" s="51"/>
      <c r="E71" s="51"/>
      <c r="F71" s="51"/>
      <c r="G71" s="51"/>
      <c r="H71" s="51"/>
      <c r="I71" s="51"/>
      <c r="J71" s="51"/>
      <c r="K71" s="51"/>
      <c r="L71" s="51"/>
      <c r="M71" s="51"/>
      <c r="O71" s="23"/>
      <c r="P71" s="23" t="s">
        <v>32</v>
      </c>
      <c r="R71" s="213"/>
      <c r="S71" s="36">
        <f t="shared" ref="S71:AB71" si="38">IF(S56&lt;5, "-",VLOOKUP(S$48&amp;"Male"&amp;"Maori"&amp;23,agesextable,7,FALSE))</f>
        <v>49.044265593561398</v>
      </c>
      <c r="T71" s="36">
        <f t="shared" si="38"/>
        <v>35.523978685612803</v>
      </c>
      <c r="U71" s="36">
        <f t="shared" si="38"/>
        <v>29.362951614962299</v>
      </c>
      <c r="V71" s="36">
        <f t="shared" si="38"/>
        <v>40.994107097104802</v>
      </c>
      <c r="W71" s="36">
        <f t="shared" si="38"/>
        <v>42.411001156663701</v>
      </c>
      <c r="X71" s="36">
        <f t="shared" si="38"/>
        <v>38.669760247486501</v>
      </c>
      <c r="Y71" s="36">
        <f t="shared" si="38"/>
        <v>40.119063025753803</v>
      </c>
      <c r="Z71" s="36">
        <f t="shared" si="38"/>
        <v>46.433638591513002</v>
      </c>
      <c r="AA71" s="36">
        <f t="shared" si="38"/>
        <v>51.026916698558502</v>
      </c>
      <c r="AB71" s="36">
        <f t="shared" si="38"/>
        <v>55.352874575418298</v>
      </c>
    </row>
    <row r="72" spans="2:28" x14ac:dyDescent="0.2">
      <c r="O72" s="23"/>
      <c r="P72" s="23" t="s">
        <v>33</v>
      </c>
      <c r="R72" s="213"/>
      <c r="S72" s="36">
        <f t="shared" ref="S72:AB72" si="39">IF(S57&lt;5, "-",VLOOKUP(S$48&amp;"Male"&amp;"Maori"&amp;24,agesextable,7,FALSE))</f>
        <v>22.680412371134</v>
      </c>
      <c r="T72" s="36">
        <f t="shared" si="39"/>
        <v>15.7946692991116</v>
      </c>
      <c r="U72" s="36">
        <f t="shared" si="39"/>
        <v>13.292821876186901</v>
      </c>
      <c r="V72" s="36">
        <f t="shared" si="39"/>
        <v>20.139143170999599</v>
      </c>
      <c r="W72" s="36">
        <f t="shared" si="39"/>
        <v>23.008849557522101</v>
      </c>
      <c r="X72" s="36">
        <f t="shared" si="39"/>
        <v>15.442690459849</v>
      </c>
      <c r="Y72" s="36">
        <f t="shared" si="39"/>
        <v>8.3514280942041097</v>
      </c>
      <c r="Z72" s="36">
        <f t="shared" si="39"/>
        <v>14.6866840731071</v>
      </c>
      <c r="AA72" s="36">
        <f t="shared" si="39"/>
        <v>23.996160614301701</v>
      </c>
      <c r="AB72" s="36">
        <f t="shared" si="39"/>
        <v>23.470505398216201</v>
      </c>
    </row>
    <row r="73" spans="2:28" x14ac:dyDescent="0.2">
      <c r="O73" s="23"/>
      <c r="P73" s="23" t="s">
        <v>23</v>
      </c>
      <c r="R73" s="213"/>
      <c r="S73" s="36" t="str">
        <f t="shared" ref="S73:AB73" si="40">IF(S58&lt;5, "-",VLOOKUP(S$48&amp;"Male"&amp;"Maori"&amp;25,agesextable,7,FALSE))</f>
        <v>-</v>
      </c>
      <c r="T73" s="36" t="str">
        <f t="shared" si="40"/>
        <v>-</v>
      </c>
      <c r="U73" s="36" t="str">
        <f t="shared" si="40"/>
        <v>-</v>
      </c>
      <c r="V73" s="36" t="str">
        <f t="shared" si="40"/>
        <v>-</v>
      </c>
      <c r="W73" s="36" t="str">
        <f t="shared" si="40"/>
        <v>-</v>
      </c>
      <c r="X73" s="36" t="str">
        <f t="shared" si="40"/>
        <v>-</v>
      </c>
      <c r="Y73" s="36" t="str">
        <f t="shared" si="40"/>
        <v>-</v>
      </c>
      <c r="Z73" s="36" t="str">
        <f t="shared" si="40"/>
        <v>-</v>
      </c>
      <c r="AA73" s="36" t="str">
        <f t="shared" si="40"/>
        <v>-</v>
      </c>
      <c r="AB73" s="36" t="str">
        <f t="shared" si="40"/>
        <v>-</v>
      </c>
    </row>
    <row r="74" spans="2:28" x14ac:dyDescent="0.2">
      <c r="O74" s="25"/>
      <c r="P74" s="25"/>
      <c r="Q74" s="25"/>
      <c r="R74" s="214"/>
      <c r="S74" s="32"/>
      <c r="T74" s="32"/>
      <c r="U74" s="32"/>
      <c r="V74" s="32"/>
      <c r="W74" s="32"/>
      <c r="X74" s="32"/>
      <c r="Y74" s="32"/>
      <c r="Z74" s="32"/>
      <c r="AA74" s="32"/>
      <c r="AB74" s="32"/>
    </row>
    <row r="75" spans="2:28" x14ac:dyDescent="0.2">
      <c r="O75" s="23" t="s">
        <v>5</v>
      </c>
      <c r="P75" s="23" t="s">
        <v>98</v>
      </c>
      <c r="Q75" s="23" t="s">
        <v>19</v>
      </c>
      <c r="R75" s="213"/>
      <c r="S75" s="36">
        <f t="shared" ref="S75:AB75" si="41">IF(S60&lt;5, "-",VLOOKUP(S$48&amp;"Female"&amp;"Maori"&amp;22,agesextable,7,FALSE))</f>
        <v>16.686133822793298</v>
      </c>
      <c r="T75" s="36">
        <f t="shared" si="41"/>
        <v>29.6247531270573</v>
      </c>
      <c r="U75" s="36">
        <f t="shared" si="41"/>
        <v>17.889087656529501</v>
      </c>
      <c r="V75" s="36">
        <f t="shared" si="41"/>
        <v>24.0731824747232</v>
      </c>
      <c r="W75" s="36">
        <f t="shared" si="41"/>
        <v>25.412960609911099</v>
      </c>
      <c r="X75" s="36">
        <f t="shared" si="41"/>
        <v>37.7299166797673</v>
      </c>
      <c r="Y75" s="36">
        <f t="shared" si="41"/>
        <v>31.172069825436399</v>
      </c>
      <c r="Z75" s="36">
        <f t="shared" si="41"/>
        <v>12.405024034734099</v>
      </c>
      <c r="AA75" s="36">
        <f t="shared" si="41"/>
        <v>33.747507286393599</v>
      </c>
      <c r="AB75" s="36">
        <f t="shared" si="41"/>
        <v>16.714784987083998</v>
      </c>
    </row>
    <row r="76" spans="2:28" x14ac:dyDescent="0.2">
      <c r="O76" s="23"/>
      <c r="P76" s="23" t="s">
        <v>32</v>
      </c>
      <c r="R76" s="213"/>
      <c r="S76" s="36">
        <f t="shared" ref="S76:AB76" si="42">IF(S61&lt;5, "-",VLOOKUP(S$48&amp;"Female"&amp;"Maori"&amp;23,agesextable,7,FALSE))</f>
        <v>12.280897621971601</v>
      </c>
      <c r="T76" s="36">
        <f t="shared" si="42"/>
        <v>10.0964774512004</v>
      </c>
      <c r="U76" s="36">
        <f t="shared" si="42"/>
        <v>8.9827082865483892</v>
      </c>
      <c r="V76" s="36">
        <f t="shared" si="42"/>
        <v>10.0682402953351</v>
      </c>
      <c r="W76" s="36">
        <f t="shared" si="42"/>
        <v>12.2562674094708</v>
      </c>
      <c r="X76" s="36">
        <f t="shared" si="42"/>
        <v>9.9922282669035205</v>
      </c>
      <c r="Y76" s="36">
        <f t="shared" si="42"/>
        <v>14.3662283125207</v>
      </c>
      <c r="Z76" s="36">
        <f t="shared" si="42"/>
        <v>16.458196181698501</v>
      </c>
      <c r="AA76" s="36">
        <f t="shared" si="42"/>
        <v>15.1909722222222</v>
      </c>
      <c r="AB76" s="36">
        <f t="shared" si="42"/>
        <v>16.101331043366301</v>
      </c>
    </row>
    <row r="77" spans="2:28" x14ac:dyDescent="0.2">
      <c r="B77" s="129"/>
      <c r="C77" s="196"/>
      <c r="D77" s="196"/>
      <c r="E77" s="196"/>
      <c r="F77" s="196"/>
      <c r="G77" s="196"/>
      <c r="H77" s="196"/>
      <c r="I77" s="196"/>
      <c r="J77" s="196"/>
      <c r="K77" s="196"/>
      <c r="L77" s="196"/>
      <c r="M77" s="129"/>
      <c r="O77" s="23"/>
      <c r="P77" s="23" t="s">
        <v>33</v>
      </c>
      <c r="R77" s="213"/>
      <c r="S77" s="36" t="str">
        <f t="shared" ref="S77:AB77" si="43">IF(S62&lt;5, "-",VLOOKUP(S$48&amp;"Female"&amp;"Maori"&amp;24,agesextable,7,FALSE))</f>
        <v>-</v>
      </c>
      <c r="T77" s="36" t="str">
        <f t="shared" si="43"/>
        <v>-</v>
      </c>
      <c r="U77" s="36" t="str">
        <f t="shared" si="43"/>
        <v>-</v>
      </c>
      <c r="V77" s="36" t="str">
        <f t="shared" si="43"/>
        <v>-</v>
      </c>
      <c r="W77" s="36" t="str">
        <f t="shared" si="43"/>
        <v>-</v>
      </c>
      <c r="X77" s="36" t="str">
        <f t="shared" si="43"/>
        <v>-</v>
      </c>
      <c r="Y77" s="36">
        <f t="shared" si="43"/>
        <v>7.4041166888790197</v>
      </c>
      <c r="Z77" s="36" t="str">
        <f t="shared" si="43"/>
        <v>-</v>
      </c>
      <c r="AA77" s="36" t="str">
        <f t="shared" si="43"/>
        <v>-</v>
      </c>
      <c r="AB77" s="36">
        <f t="shared" si="43"/>
        <v>10.9664153529815</v>
      </c>
    </row>
    <row r="78" spans="2:28" x14ac:dyDescent="0.2">
      <c r="P78" s="22" t="s">
        <v>23</v>
      </c>
      <c r="R78" s="215"/>
      <c r="S78" s="36" t="str">
        <f t="shared" ref="S78:AB78" si="44">IF(S63&lt;5, "-",VLOOKUP(S$48&amp;"Female"&amp;"Maori"&amp;25,agesextable,7,FALSE))</f>
        <v>-</v>
      </c>
      <c r="T78" s="36" t="str">
        <f t="shared" si="44"/>
        <v>-</v>
      </c>
      <c r="U78" s="36" t="str">
        <f t="shared" si="44"/>
        <v>-</v>
      </c>
      <c r="V78" s="36" t="str">
        <f t="shared" si="44"/>
        <v>-</v>
      </c>
      <c r="W78" s="36" t="str">
        <f t="shared" si="44"/>
        <v>-</v>
      </c>
      <c r="X78" s="36" t="str">
        <f t="shared" si="44"/>
        <v>-</v>
      </c>
      <c r="Y78" s="36" t="str">
        <f t="shared" si="44"/>
        <v>-</v>
      </c>
      <c r="Z78" s="36" t="str">
        <f t="shared" si="44"/>
        <v>-</v>
      </c>
      <c r="AA78" s="36" t="str">
        <f t="shared" si="44"/>
        <v>-</v>
      </c>
      <c r="AB78" s="269" t="str">
        <f t="shared" si="44"/>
        <v>-</v>
      </c>
    </row>
    <row r="79" spans="2:28" x14ac:dyDescent="0.2">
      <c r="B79" s="51"/>
      <c r="C79" s="51"/>
      <c r="D79" s="51"/>
      <c r="E79" s="51"/>
      <c r="F79" s="51"/>
      <c r="G79" s="51"/>
      <c r="H79" s="51"/>
      <c r="I79" s="51"/>
      <c r="J79" s="51"/>
      <c r="K79" s="51"/>
      <c r="L79" s="51"/>
      <c r="M79" s="51"/>
      <c r="O79" s="24"/>
      <c r="P79" s="24"/>
      <c r="Q79" s="25"/>
      <c r="R79" s="214"/>
      <c r="S79" s="88"/>
      <c r="T79" s="88"/>
      <c r="U79" s="88"/>
      <c r="V79" s="88"/>
      <c r="W79" s="88"/>
      <c r="X79" s="88"/>
      <c r="Y79" s="88"/>
      <c r="Z79" s="88"/>
      <c r="AA79" s="34"/>
    </row>
    <row r="80" spans="2:28" ht="13.5" x14ac:dyDescent="0.25">
      <c r="B80" s="195"/>
      <c r="C80" s="312" t="s">
        <v>248</v>
      </c>
      <c r="D80" s="306"/>
      <c r="E80" s="306"/>
      <c r="F80" s="306"/>
      <c r="G80" s="306"/>
      <c r="H80" s="306"/>
      <c r="I80" s="306"/>
      <c r="J80" s="306"/>
      <c r="K80" s="306"/>
      <c r="L80" s="306"/>
      <c r="M80" s="195"/>
      <c r="P80" s="26"/>
      <c r="Q80" s="27"/>
      <c r="R80" s="213"/>
      <c r="S80" s="85"/>
      <c r="T80" s="85"/>
      <c r="U80" s="85"/>
      <c r="V80" s="85"/>
      <c r="W80" s="85"/>
      <c r="X80" s="85"/>
      <c r="Y80" s="85"/>
      <c r="Z80" s="85"/>
      <c r="AA80" s="89"/>
    </row>
    <row r="81" spans="2:28" x14ac:dyDescent="0.2">
      <c r="B81" s="51"/>
      <c r="C81" s="51"/>
      <c r="D81" s="51"/>
      <c r="E81" s="51"/>
      <c r="F81" s="51"/>
      <c r="G81" s="51"/>
      <c r="H81" s="51"/>
      <c r="I81" s="51"/>
      <c r="J81" s="51"/>
      <c r="K81" s="51"/>
      <c r="L81" s="51"/>
      <c r="M81" s="51"/>
      <c r="O81" s="20" t="s">
        <v>4</v>
      </c>
      <c r="R81" s="213"/>
    </row>
    <row r="82" spans="2:28" x14ac:dyDescent="0.2">
      <c r="B82" s="52"/>
      <c r="C82" s="52"/>
      <c r="D82" s="52"/>
      <c r="E82" s="78"/>
      <c r="F82" s="52"/>
      <c r="G82" s="52"/>
      <c r="H82" s="52"/>
      <c r="I82" s="52"/>
      <c r="J82" s="78"/>
      <c r="K82" s="51"/>
      <c r="L82" s="51"/>
      <c r="M82" s="51"/>
      <c r="R82" s="213"/>
    </row>
    <row r="83" spans="2:28" x14ac:dyDescent="0.2">
      <c r="B83" s="52"/>
      <c r="C83" s="52"/>
      <c r="D83" s="52"/>
      <c r="E83" s="51"/>
      <c r="F83" s="52"/>
      <c r="G83" s="52"/>
      <c r="H83" s="52"/>
      <c r="I83" s="52"/>
      <c r="J83" s="51"/>
      <c r="K83" s="51"/>
      <c r="L83" s="51"/>
      <c r="M83" s="51"/>
      <c r="O83" s="30" t="s">
        <v>1</v>
      </c>
      <c r="P83" s="20" t="s">
        <v>34</v>
      </c>
      <c r="R83" s="213"/>
      <c r="S83" s="38">
        <v>2007</v>
      </c>
      <c r="T83" s="38">
        <v>2008</v>
      </c>
      <c r="U83" s="38">
        <v>2009</v>
      </c>
      <c r="V83" s="38">
        <v>2010</v>
      </c>
      <c r="W83" s="38">
        <v>2011</v>
      </c>
      <c r="X83" s="38">
        <v>2012</v>
      </c>
      <c r="Y83" s="38">
        <v>2013</v>
      </c>
      <c r="Z83" s="38">
        <v>2014</v>
      </c>
      <c r="AA83" s="38">
        <v>2015</v>
      </c>
      <c r="AB83" s="38">
        <v>2016</v>
      </c>
    </row>
    <row r="84" spans="2:28" x14ac:dyDescent="0.2">
      <c r="B84" s="52"/>
      <c r="C84" s="52"/>
      <c r="D84" s="52"/>
      <c r="E84" s="52"/>
      <c r="F84" s="52"/>
      <c r="G84" s="52"/>
      <c r="H84" s="52"/>
      <c r="I84" s="52"/>
      <c r="J84" s="52"/>
      <c r="K84" s="51"/>
      <c r="L84" s="51"/>
      <c r="M84" s="51"/>
      <c r="O84" s="26"/>
      <c r="R84" s="213"/>
      <c r="AA84" s="37"/>
    </row>
    <row r="85" spans="2:28" x14ac:dyDescent="0.2">
      <c r="B85" s="52"/>
      <c r="C85" s="52"/>
      <c r="D85" s="52"/>
      <c r="E85" s="52"/>
      <c r="F85" s="52"/>
      <c r="G85" s="52"/>
      <c r="H85" s="52"/>
      <c r="I85" s="52"/>
      <c r="J85" s="52"/>
      <c r="K85" s="51"/>
      <c r="L85" s="51"/>
      <c r="M85" s="51"/>
      <c r="O85" s="26" t="s">
        <v>0</v>
      </c>
      <c r="P85" s="22" t="s">
        <v>98</v>
      </c>
      <c r="Q85" s="23" t="s">
        <v>18</v>
      </c>
      <c r="R85" s="213"/>
      <c r="S85" s="85">
        <f t="shared" ref="S85:AB85" si="45">VLOOKUP(S$48&amp;"AllSex"&amp;"Non-Maori"&amp;22,agesextable,6,FALSE)</f>
        <v>61</v>
      </c>
      <c r="T85" s="85">
        <f t="shared" si="45"/>
        <v>86</v>
      </c>
      <c r="U85" s="85">
        <f t="shared" si="45"/>
        <v>81</v>
      </c>
      <c r="V85" s="85">
        <f t="shared" si="45"/>
        <v>69</v>
      </c>
      <c r="W85" s="85">
        <f t="shared" si="45"/>
        <v>81</v>
      </c>
      <c r="X85" s="85">
        <f t="shared" si="45"/>
        <v>87</v>
      </c>
      <c r="Y85" s="85">
        <f t="shared" si="45"/>
        <v>62</v>
      </c>
      <c r="Z85" s="85">
        <f t="shared" si="45"/>
        <v>61</v>
      </c>
      <c r="AA85" s="85">
        <f t="shared" si="45"/>
        <v>69</v>
      </c>
      <c r="AB85" s="85">
        <f t="shared" si="45"/>
        <v>67</v>
      </c>
    </row>
    <row r="86" spans="2:28" x14ac:dyDescent="0.2">
      <c r="B86" s="51"/>
      <c r="C86" s="51"/>
      <c r="D86" s="51"/>
      <c r="E86" s="51"/>
      <c r="F86" s="51"/>
      <c r="G86" s="51"/>
      <c r="H86" s="51"/>
      <c r="I86" s="51"/>
      <c r="J86" s="51"/>
      <c r="K86" s="51"/>
      <c r="L86" s="51"/>
      <c r="M86" s="51"/>
      <c r="O86" s="26"/>
      <c r="P86" s="22" t="s">
        <v>32</v>
      </c>
      <c r="R86" s="213"/>
      <c r="S86" s="85">
        <f t="shared" ref="S86:AB86" si="46">VLOOKUP(S$48&amp;"AllSex"&amp;"Non-Maori"&amp;23,agesextable,6,FALSE)</f>
        <v>163</v>
      </c>
      <c r="T86" s="85">
        <f t="shared" si="46"/>
        <v>145</v>
      </c>
      <c r="U86" s="85">
        <f t="shared" si="46"/>
        <v>142</v>
      </c>
      <c r="V86" s="85">
        <f t="shared" si="46"/>
        <v>158</v>
      </c>
      <c r="W86" s="85">
        <f t="shared" si="46"/>
        <v>119</v>
      </c>
      <c r="X86" s="85">
        <f t="shared" si="46"/>
        <v>147</v>
      </c>
      <c r="Y86" s="85">
        <f t="shared" si="46"/>
        <v>117</v>
      </c>
      <c r="Z86" s="85">
        <f t="shared" si="46"/>
        <v>139</v>
      </c>
      <c r="AA86" s="85">
        <f t="shared" si="46"/>
        <v>119</v>
      </c>
      <c r="AB86" s="85">
        <f t="shared" si="46"/>
        <v>140</v>
      </c>
    </row>
    <row r="87" spans="2:28" x14ac:dyDescent="0.2">
      <c r="B87" s="51"/>
      <c r="C87" s="51"/>
      <c r="D87" s="51"/>
      <c r="E87" s="51"/>
      <c r="F87" s="51"/>
      <c r="G87" s="51"/>
      <c r="H87" s="51"/>
      <c r="I87" s="51"/>
      <c r="J87" s="51"/>
      <c r="K87" s="51"/>
      <c r="L87" s="51"/>
      <c r="M87" s="51"/>
      <c r="O87" s="26"/>
      <c r="P87" s="22" t="s">
        <v>33</v>
      </c>
      <c r="R87" s="213"/>
      <c r="S87" s="85">
        <f t="shared" ref="S87:AB87" si="47">VLOOKUP(S$48&amp;"AllSex"&amp;"Non-Maori"&amp;24,agesextable,6,FALSE)</f>
        <v>130</v>
      </c>
      <c r="T87" s="85">
        <f t="shared" si="47"/>
        <v>149</v>
      </c>
      <c r="U87" s="85">
        <f t="shared" si="47"/>
        <v>148</v>
      </c>
      <c r="V87" s="85">
        <f t="shared" si="47"/>
        <v>146</v>
      </c>
      <c r="W87" s="85">
        <f t="shared" si="47"/>
        <v>134</v>
      </c>
      <c r="X87" s="85">
        <f t="shared" si="47"/>
        <v>137</v>
      </c>
      <c r="Y87" s="85">
        <f t="shared" si="47"/>
        <v>173</v>
      </c>
      <c r="Z87" s="85">
        <f t="shared" si="47"/>
        <v>154</v>
      </c>
      <c r="AA87" s="85">
        <f t="shared" si="47"/>
        <v>153</v>
      </c>
      <c r="AB87" s="85">
        <f t="shared" si="47"/>
        <v>147</v>
      </c>
    </row>
    <row r="88" spans="2:28" x14ac:dyDescent="0.2">
      <c r="B88" s="51"/>
      <c r="C88" s="51"/>
      <c r="D88" s="51"/>
      <c r="E88" s="51"/>
      <c r="F88" s="51"/>
      <c r="G88" s="51"/>
      <c r="H88" s="51"/>
      <c r="I88" s="51"/>
      <c r="J88" s="51"/>
      <c r="K88" s="51"/>
      <c r="L88" s="51"/>
      <c r="M88" s="51"/>
      <c r="O88" s="26"/>
      <c r="P88" s="22" t="s">
        <v>23</v>
      </c>
      <c r="R88" s="213"/>
      <c r="S88" s="85">
        <f t="shared" ref="S88:AB88" si="48">VLOOKUP(S$48&amp;"AllSex"&amp;"Non-Maori"&amp;25,agesextable,6,FALSE)</f>
        <v>49</v>
      </c>
      <c r="T88" s="85">
        <f t="shared" si="48"/>
        <v>50</v>
      </c>
      <c r="U88" s="85">
        <f t="shared" si="48"/>
        <v>53</v>
      </c>
      <c r="V88" s="85">
        <f t="shared" si="48"/>
        <v>57</v>
      </c>
      <c r="W88" s="85">
        <f t="shared" si="48"/>
        <v>45</v>
      </c>
      <c r="X88" s="85">
        <f t="shared" si="48"/>
        <v>56</v>
      </c>
      <c r="Y88" s="85">
        <f t="shared" si="48"/>
        <v>56</v>
      </c>
      <c r="Z88" s="85">
        <f t="shared" si="48"/>
        <v>60</v>
      </c>
      <c r="AA88" s="85">
        <f t="shared" si="48"/>
        <v>65</v>
      </c>
      <c r="AB88" s="85">
        <f t="shared" si="48"/>
        <v>60</v>
      </c>
    </row>
    <row r="89" spans="2:28" x14ac:dyDescent="0.2">
      <c r="B89" s="51"/>
      <c r="C89" s="51"/>
      <c r="D89" s="51"/>
      <c r="E89" s="51"/>
      <c r="F89" s="51"/>
      <c r="G89" s="51"/>
      <c r="H89" s="51"/>
      <c r="I89" s="51"/>
      <c r="J89" s="51"/>
      <c r="K89" s="51"/>
      <c r="L89" s="51"/>
      <c r="M89" s="51"/>
      <c r="O89" s="24"/>
      <c r="P89" s="24"/>
      <c r="Q89" s="25"/>
      <c r="R89" s="214"/>
      <c r="S89" s="88"/>
      <c r="T89" s="88"/>
      <c r="U89" s="88"/>
      <c r="V89" s="88"/>
      <c r="W89" s="88"/>
      <c r="X89" s="88"/>
      <c r="Y89" s="88"/>
      <c r="Z89" s="88"/>
      <c r="AA89" s="88"/>
      <c r="AB89" s="88"/>
    </row>
    <row r="90" spans="2:28" x14ac:dyDescent="0.2">
      <c r="B90" s="51"/>
      <c r="C90" s="51"/>
      <c r="D90" s="51"/>
      <c r="E90" s="51"/>
      <c r="F90" s="51"/>
      <c r="G90" s="51"/>
      <c r="H90" s="51"/>
      <c r="I90" s="51"/>
      <c r="J90" s="51"/>
      <c r="K90" s="51"/>
      <c r="L90" s="51"/>
      <c r="M90" s="51"/>
      <c r="O90" s="22" t="s">
        <v>17</v>
      </c>
      <c r="P90" s="22" t="s">
        <v>98</v>
      </c>
      <c r="Q90" s="23" t="s">
        <v>18</v>
      </c>
      <c r="R90" s="213"/>
      <c r="S90" s="85">
        <f t="shared" ref="S90:AB90" si="49">VLOOKUP(S$48&amp;"Male"&amp;"Non-Maori"&amp;22,agesextable,6,FALSE)</f>
        <v>48</v>
      </c>
      <c r="T90" s="85">
        <f t="shared" si="49"/>
        <v>66</v>
      </c>
      <c r="U90" s="85">
        <f t="shared" si="49"/>
        <v>71</v>
      </c>
      <c r="V90" s="85">
        <f t="shared" si="49"/>
        <v>50</v>
      </c>
      <c r="W90" s="85">
        <f t="shared" si="49"/>
        <v>63</v>
      </c>
      <c r="X90" s="85">
        <f t="shared" si="49"/>
        <v>70</v>
      </c>
      <c r="Y90" s="85">
        <f t="shared" si="49"/>
        <v>44</v>
      </c>
      <c r="Z90" s="85">
        <f t="shared" si="49"/>
        <v>48</v>
      </c>
      <c r="AA90" s="85">
        <f t="shared" si="49"/>
        <v>50</v>
      </c>
      <c r="AB90" s="85">
        <f t="shared" si="49"/>
        <v>52</v>
      </c>
    </row>
    <row r="91" spans="2:28" x14ac:dyDescent="0.2">
      <c r="B91" s="51"/>
      <c r="C91" s="51"/>
      <c r="D91" s="51"/>
      <c r="E91" s="51"/>
      <c r="F91" s="51"/>
      <c r="G91" s="51"/>
      <c r="H91" s="51"/>
      <c r="I91" s="51"/>
      <c r="J91" s="51"/>
      <c r="K91" s="51"/>
      <c r="L91" s="51"/>
      <c r="M91" s="51"/>
      <c r="P91" s="22" t="s">
        <v>32</v>
      </c>
      <c r="R91" s="213"/>
      <c r="S91" s="85">
        <f t="shared" ref="S91:AB91" si="50">VLOOKUP(S$48&amp;"Male"&amp;"Non-Maori"&amp;23,agesextable,6,FALSE)</f>
        <v>126</v>
      </c>
      <c r="T91" s="85">
        <f t="shared" si="50"/>
        <v>105</v>
      </c>
      <c r="U91" s="85">
        <f t="shared" si="50"/>
        <v>109</v>
      </c>
      <c r="V91" s="85">
        <f t="shared" si="50"/>
        <v>114</v>
      </c>
      <c r="W91" s="85">
        <f t="shared" si="50"/>
        <v>97</v>
      </c>
      <c r="X91" s="85">
        <f t="shared" si="50"/>
        <v>113</v>
      </c>
      <c r="Y91" s="85">
        <f t="shared" si="50"/>
        <v>83</v>
      </c>
      <c r="Z91" s="85">
        <f t="shared" si="50"/>
        <v>104</v>
      </c>
      <c r="AA91" s="85">
        <f t="shared" si="50"/>
        <v>97</v>
      </c>
      <c r="AB91" s="85">
        <f t="shared" si="50"/>
        <v>98</v>
      </c>
    </row>
    <row r="92" spans="2:28" x14ac:dyDescent="0.2">
      <c r="B92" s="51"/>
      <c r="C92" s="51"/>
      <c r="D92" s="51"/>
      <c r="E92" s="51"/>
      <c r="F92" s="51"/>
      <c r="G92" s="51"/>
      <c r="H92" s="51"/>
      <c r="I92" s="51"/>
      <c r="J92" s="51"/>
      <c r="K92" s="51"/>
      <c r="L92" s="51"/>
      <c r="M92" s="51"/>
      <c r="P92" s="22" t="s">
        <v>33</v>
      </c>
      <c r="R92" s="213"/>
      <c r="S92" s="85">
        <f t="shared" ref="S92:AB92" si="51">VLOOKUP(S$48&amp;"Male"&amp;"Non-Maori"&amp;24,agesextable,6,FALSE)</f>
        <v>91</v>
      </c>
      <c r="T92" s="85">
        <f t="shared" si="51"/>
        <v>117</v>
      </c>
      <c r="U92" s="85">
        <f t="shared" si="51"/>
        <v>113</v>
      </c>
      <c r="V92" s="85">
        <f t="shared" si="51"/>
        <v>107</v>
      </c>
      <c r="W92" s="85">
        <f t="shared" si="51"/>
        <v>104</v>
      </c>
      <c r="X92" s="85">
        <f t="shared" si="51"/>
        <v>96</v>
      </c>
      <c r="Y92" s="85">
        <f t="shared" si="51"/>
        <v>125</v>
      </c>
      <c r="Z92" s="85">
        <f t="shared" si="51"/>
        <v>111</v>
      </c>
      <c r="AA92" s="85">
        <f t="shared" si="51"/>
        <v>110</v>
      </c>
      <c r="AB92" s="85">
        <f t="shared" si="51"/>
        <v>112</v>
      </c>
    </row>
    <row r="93" spans="2:28" x14ac:dyDescent="0.2">
      <c r="B93" s="51"/>
      <c r="C93" s="51"/>
      <c r="D93" s="51"/>
      <c r="E93" s="51"/>
      <c r="F93" s="51"/>
      <c r="G93" s="51"/>
      <c r="H93" s="51"/>
      <c r="I93" s="51"/>
      <c r="J93" s="51"/>
      <c r="K93" s="51"/>
      <c r="L93" s="51"/>
      <c r="M93" s="51"/>
      <c r="P93" s="22" t="s">
        <v>23</v>
      </c>
      <c r="R93" s="213"/>
      <c r="S93" s="85">
        <f t="shared" ref="S93:AB93" si="52">VLOOKUP(S$48&amp;"Male"&amp;"Non-Maori"&amp;25,agesextable,6,FALSE)</f>
        <v>41</v>
      </c>
      <c r="T93" s="85">
        <f t="shared" si="52"/>
        <v>35</v>
      </c>
      <c r="U93" s="85">
        <f t="shared" si="52"/>
        <v>40</v>
      </c>
      <c r="V93" s="85">
        <f t="shared" si="52"/>
        <v>43</v>
      </c>
      <c r="W93" s="85">
        <f t="shared" si="52"/>
        <v>31</v>
      </c>
      <c r="X93" s="85">
        <f t="shared" si="52"/>
        <v>42</v>
      </c>
      <c r="Y93" s="85">
        <f t="shared" si="52"/>
        <v>48</v>
      </c>
      <c r="Z93" s="85">
        <f t="shared" si="52"/>
        <v>49</v>
      </c>
      <c r="AA93" s="85">
        <f t="shared" si="52"/>
        <v>49</v>
      </c>
      <c r="AB93" s="85">
        <f t="shared" si="52"/>
        <v>48</v>
      </c>
    </row>
    <row r="94" spans="2:28" x14ac:dyDescent="0.2">
      <c r="B94" s="51"/>
      <c r="C94" s="51"/>
      <c r="D94" s="51"/>
      <c r="E94" s="51"/>
      <c r="F94" s="51"/>
      <c r="G94" s="51"/>
      <c r="H94" s="51"/>
      <c r="I94" s="51"/>
      <c r="J94" s="51"/>
      <c r="K94" s="51"/>
      <c r="L94" s="51"/>
      <c r="M94" s="51"/>
      <c r="O94" s="24"/>
      <c r="P94" s="24"/>
      <c r="Q94" s="25"/>
      <c r="R94" s="214"/>
      <c r="S94" s="88"/>
      <c r="T94" s="88"/>
      <c r="U94" s="88"/>
      <c r="V94" s="88"/>
      <c r="W94" s="88"/>
      <c r="X94" s="88"/>
      <c r="Y94" s="88"/>
      <c r="Z94" s="88"/>
      <c r="AA94" s="88"/>
      <c r="AB94" s="88"/>
    </row>
    <row r="95" spans="2:28" x14ac:dyDescent="0.2">
      <c r="B95" s="51"/>
      <c r="C95" s="51"/>
      <c r="D95" s="51"/>
      <c r="E95" s="51"/>
      <c r="F95" s="51"/>
      <c r="G95" s="51"/>
      <c r="H95" s="51"/>
      <c r="I95" s="51"/>
      <c r="J95" s="51"/>
      <c r="K95" s="51"/>
      <c r="L95" s="51"/>
      <c r="M95" s="51"/>
      <c r="O95" s="22" t="s">
        <v>5</v>
      </c>
      <c r="P95" s="22" t="s">
        <v>98</v>
      </c>
      <c r="Q95" s="23" t="s">
        <v>18</v>
      </c>
      <c r="R95" s="213"/>
      <c r="S95" s="85">
        <f t="shared" ref="S95:AB95" si="53">VLOOKUP(S$48&amp;"Female"&amp;"Non-Maori"&amp;22,agesextable,6,FALSE)</f>
        <v>13</v>
      </c>
      <c r="T95" s="85">
        <f t="shared" si="53"/>
        <v>20</v>
      </c>
      <c r="U95" s="85">
        <f t="shared" si="53"/>
        <v>10</v>
      </c>
      <c r="V95" s="85">
        <f t="shared" si="53"/>
        <v>19</v>
      </c>
      <c r="W95" s="85">
        <f t="shared" si="53"/>
        <v>18</v>
      </c>
      <c r="X95" s="85">
        <f t="shared" si="53"/>
        <v>17</v>
      </c>
      <c r="Y95" s="85">
        <f t="shared" si="53"/>
        <v>18</v>
      </c>
      <c r="Z95" s="85">
        <f t="shared" si="53"/>
        <v>13</v>
      </c>
      <c r="AA95" s="85">
        <f t="shared" si="53"/>
        <v>19</v>
      </c>
      <c r="AB95" s="85">
        <f t="shared" si="53"/>
        <v>15</v>
      </c>
    </row>
    <row r="96" spans="2:28" x14ac:dyDescent="0.2">
      <c r="B96" s="51"/>
      <c r="C96" s="51"/>
      <c r="D96" s="51"/>
      <c r="E96" s="79"/>
      <c r="F96" s="51"/>
      <c r="G96" s="51"/>
      <c r="H96" s="51"/>
      <c r="I96" s="51"/>
      <c r="J96" s="51"/>
      <c r="K96" s="51"/>
      <c r="L96" s="51"/>
      <c r="M96" s="51"/>
      <c r="P96" s="22" t="s">
        <v>32</v>
      </c>
      <c r="R96" s="213"/>
      <c r="S96" s="85">
        <f t="shared" ref="S96:AB96" si="54">VLOOKUP(S$48&amp;"Female"&amp;"Non-Maori"&amp;23,agesextable,6,FALSE)</f>
        <v>37</v>
      </c>
      <c r="T96" s="85">
        <f t="shared" si="54"/>
        <v>40</v>
      </c>
      <c r="U96" s="85">
        <f t="shared" si="54"/>
        <v>33</v>
      </c>
      <c r="V96" s="85">
        <f t="shared" si="54"/>
        <v>44</v>
      </c>
      <c r="W96" s="85">
        <f t="shared" si="54"/>
        <v>22</v>
      </c>
      <c r="X96" s="85">
        <f t="shared" si="54"/>
        <v>34</v>
      </c>
      <c r="Y96" s="85">
        <f t="shared" si="54"/>
        <v>34</v>
      </c>
      <c r="Z96" s="85">
        <f t="shared" si="54"/>
        <v>35</v>
      </c>
      <c r="AA96" s="85">
        <f t="shared" si="54"/>
        <v>22</v>
      </c>
      <c r="AB96" s="85">
        <f t="shared" si="54"/>
        <v>42</v>
      </c>
    </row>
    <row r="97" spans="2:73" x14ac:dyDescent="0.2">
      <c r="B97" s="51"/>
      <c r="C97" s="51"/>
      <c r="D97" s="51"/>
      <c r="E97" s="51"/>
      <c r="F97" s="51"/>
      <c r="G97" s="51"/>
      <c r="H97" s="51"/>
      <c r="I97" s="51"/>
      <c r="J97" s="51"/>
      <c r="K97" s="51"/>
      <c r="L97" s="51"/>
      <c r="M97" s="51"/>
      <c r="P97" s="22" t="s">
        <v>33</v>
      </c>
      <c r="R97" s="213"/>
      <c r="S97" s="85">
        <f t="shared" ref="S97:AB97" si="55">VLOOKUP(S$48&amp;"Female"&amp;"Non-Maori"&amp;24,agesextable,6,FALSE)</f>
        <v>39</v>
      </c>
      <c r="T97" s="85">
        <f t="shared" si="55"/>
        <v>32</v>
      </c>
      <c r="U97" s="85">
        <f t="shared" si="55"/>
        <v>35</v>
      </c>
      <c r="V97" s="85">
        <f t="shared" si="55"/>
        <v>39</v>
      </c>
      <c r="W97" s="85">
        <f t="shared" si="55"/>
        <v>30</v>
      </c>
      <c r="X97" s="85">
        <f t="shared" si="55"/>
        <v>41</v>
      </c>
      <c r="Y97" s="85">
        <f t="shared" si="55"/>
        <v>48</v>
      </c>
      <c r="Z97" s="85">
        <f t="shared" si="55"/>
        <v>43</v>
      </c>
      <c r="AA97" s="85">
        <f t="shared" si="55"/>
        <v>43</v>
      </c>
      <c r="AB97" s="85">
        <f t="shared" si="55"/>
        <v>35</v>
      </c>
    </row>
    <row r="98" spans="2:73" x14ac:dyDescent="0.2">
      <c r="B98" s="51"/>
      <c r="C98" s="51"/>
      <c r="D98" s="51"/>
      <c r="E98" s="51"/>
      <c r="F98" s="51"/>
      <c r="G98" s="51"/>
      <c r="H98" s="51"/>
      <c r="I98" s="51"/>
      <c r="J98" s="51"/>
      <c r="K98" s="51"/>
      <c r="L98" s="51"/>
      <c r="M98" s="51"/>
      <c r="P98" s="22" t="s">
        <v>23</v>
      </c>
      <c r="R98" s="213"/>
      <c r="S98" s="85">
        <f t="shared" ref="S98:AB98" si="56">VLOOKUP(S$48&amp;"Female"&amp;"Non-Maori"&amp;25,agesextable,6,FALSE)</f>
        <v>8</v>
      </c>
      <c r="T98" s="85">
        <f t="shared" si="56"/>
        <v>15</v>
      </c>
      <c r="U98" s="85">
        <f t="shared" si="56"/>
        <v>13</v>
      </c>
      <c r="V98" s="85">
        <f t="shared" si="56"/>
        <v>14</v>
      </c>
      <c r="W98" s="85">
        <f t="shared" si="56"/>
        <v>14</v>
      </c>
      <c r="X98" s="85">
        <f t="shared" si="56"/>
        <v>14</v>
      </c>
      <c r="Y98" s="85">
        <f t="shared" si="56"/>
        <v>8</v>
      </c>
      <c r="Z98" s="85">
        <f t="shared" si="56"/>
        <v>11</v>
      </c>
      <c r="AA98" s="85">
        <f t="shared" si="56"/>
        <v>16</v>
      </c>
      <c r="AB98" s="85">
        <f t="shared" si="56"/>
        <v>12</v>
      </c>
    </row>
    <row r="99" spans="2:73" x14ac:dyDescent="0.2">
      <c r="B99" s="51"/>
      <c r="C99" s="51"/>
      <c r="D99" s="51"/>
      <c r="E99" s="51"/>
      <c r="F99" s="51"/>
      <c r="G99" s="51"/>
      <c r="H99" s="51"/>
      <c r="I99" s="51"/>
      <c r="J99" s="51"/>
      <c r="K99" s="51"/>
      <c r="L99" s="51"/>
      <c r="M99" s="51"/>
      <c r="O99" s="24"/>
      <c r="P99" s="24"/>
      <c r="Q99" s="25"/>
      <c r="R99" s="214"/>
      <c r="S99" s="88"/>
      <c r="T99" s="88"/>
      <c r="U99" s="88"/>
      <c r="V99" s="88"/>
      <c r="W99" s="88"/>
      <c r="X99" s="88"/>
      <c r="Y99" s="88"/>
      <c r="Z99" s="88"/>
      <c r="AA99" s="88"/>
      <c r="AB99" s="88"/>
    </row>
    <row r="100" spans="2:73" x14ac:dyDescent="0.2">
      <c r="B100" s="51"/>
      <c r="C100" s="51"/>
      <c r="D100" s="51"/>
      <c r="E100" s="51"/>
      <c r="F100" s="51"/>
      <c r="G100" s="51"/>
      <c r="H100" s="51"/>
      <c r="I100" s="51"/>
      <c r="J100" s="51"/>
      <c r="K100" s="51"/>
      <c r="L100" s="51"/>
      <c r="M100" s="51"/>
      <c r="O100" s="22" t="s">
        <v>0</v>
      </c>
      <c r="P100" s="22" t="s">
        <v>98</v>
      </c>
      <c r="Q100" s="23" t="s">
        <v>19</v>
      </c>
      <c r="R100" s="213"/>
      <c r="S100" s="36">
        <f t="shared" ref="S100:AB100" si="57">VLOOKUP(S$48&amp;"AllSex"&amp;"Non-Maori"&amp;22,agesextable,7,FALSE)</f>
        <v>12.488228309380499</v>
      </c>
      <c r="T100" s="36">
        <f t="shared" si="57"/>
        <v>17.6642155855893</v>
      </c>
      <c r="U100" s="36">
        <f t="shared" si="57"/>
        <v>16.560353287536799</v>
      </c>
      <c r="V100" s="36">
        <f t="shared" si="57"/>
        <v>13.9464375947448</v>
      </c>
      <c r="W100" s="36">
        <f t="shared" si="57"/>
        <v>16.261794820317199</v>
      </c>
      <c r="X100" s="36">
        <f t="shared" si="57"/>
        <v>17.457259812183999</v>
      </c>
      <c r="Y100" s="36">
        <f t="shared" si="57"/>
        <v>12.380438906527701</v>
      </c>
      <c r="Z100" s="36">
        <f t="shared" si="57"/>
        <v>11.938779504442801</v>
      </c>
      <c r="AA100" s="36">
        <f t="shared" si="57"/>
        <v>13.155887736424599</v>
      </c>
      <c r="AB100" s="36">
        <f t="shared" si="57"/>
        <v>12.5482263924786</v>
      </c>
    </row>
    <row r="101" spans="2:73" x14ac:dyDescent="0.2">
      <c r="B101" s="51"/>
      <c r="C101" s="51"/>
      <c r="D101" s="51"/>
      <c r="E101" s="51"/>
      <c r="F101" s="51"/>
      <c r="G101" s="51"/>
      <c r="H101" s="51"/>
      <c r="I101" s="51"/>
      <c r="J101" s="51"/>
      <c r="K101" s="51"/>
      <c r="L101" s="51"/>
      <c r="M101" s="51"/>
      <c r="P101" s="22" t="s">
        <v>32</v>
      </c>
      <c r="R101" s="213"/>
      <c r="S101" s="36">
        <f t="shared" ref="S101:AB101" si="58">VLOOKUP(S$48&amp;"AllSex"&amp;"Non-Maori"&amp;23,agesextable,7,FALSE)</f>
        <v>16.1504468620574</v>
      </c>
      <c r="T101" s="36">
        <f t="shared" si="58"/>
        <v>14.4589366199992</v>
      </c>
      <c r="U101" s="36">
        <f t="shared" si="58"/>
        <v>14.2147833747097</v>
      </c>
      <c r="V101" s="36">
        <f t="shared" si="58"/>
        <v>15.868392772850999</v>
      </c>
      <c r="W101" s="36">
        <f t="shared" si="58"/>
        <v>12.051121058068199</v>
      </c>
      <c r="X101" s="36">
        <f t="shared" si="58"/>
        <v>15.025451274608001</v>
      </c>
      <c r="Y101" s="36">
        <f t="shared" si="58"/>
        <v>11.9851261511355</v>
      </c>
      <c r="Z101" s="36">
        <f t="shared" si="58"/>
        <v>14.0580120555039</v>
      </c>
      <c r="AA101" s="36">
        <f t="shared" si="58"/>
        <v>11.739636564528499</v>
      </c>
      <c r="AB101" s="36">
        <f t="shared" si="58"/>
        <v>13.373325946162799</v>
      </c>
    </row>
    <row r="102" spans="2:73" x14ac:dyDescent="0.2">
      <c r="B102" s="51"/>
      <c r="C102" s="51"/>
      <c r="D102" s="51"/>
      <c r="E102" s="51"/>
      <c r="F102" s="51"/>
      <c r="G102" s="51"/>
      <c r="H102" s="51"/>
      <c r="I102" s="51"/>
      <c r="J102" s="51"/>
      <c r="K102" s="51"/>
      <c r="L102" s="51"/>
      <c r="M102" s="51"/>
      <c r="P102" s="22" t="s">
        <v>33</v>
      </c>
      <c r="R102" s="213"/>
      <c r="S102" s="36">
        <f t="shared" ref="S102:AB102" si="59">VLOOKUP(S$48&amp;"AllSex"&amp;"Non-Maori"&amp;24,agesextable,7,FALSE)</f>
        <v>14.0802356814834</v>
      </c>
      <c r="T102" s="36">
        <f t="shared" si="59"/>
        <v>15.737053896769201</v>
      </c>
      <c r="U102" s="36">
        <f t="shared" si="59"/>
        <v>15.298580746529399</v>
      </c>
      <c r="V102" s="36">
        <f t="shared" si="59"/>
        <v>14.822335025380699</v>
      </c>
      <c r="W102" s="36">
        <f t="shared" si="59"/>
        <v>13.431025669296099</v>
      </c>
      <c r="X102" s="36">
        <f t="shared" si="59"/>
        <v>13.648137079099399</v>
      </c>
      <c r="Y102" s="36">
        <f t="shared" si="59"/>
        <v>17.105002966185499</v>
      </c>
      <c r="Z102" s="36">
        <f t="shared" si="59"/>
        <v>15.051850693460301</v>
      </c>
      <c r="AA102" s="36">
        <f t="shared" si="59"/>
        <v>14.7633521493704</v>
      </c>
      <c r="AB102" s="36">
        <f t="shared" si="59"/>
        <v>13.9775028763229</v>
      </c>
    </row>
    <row r="103" spans="2:73" x14ac:dyDescent="0.2">
      <c r="B103" s="51"/>
      <c r="C103" s="51"/>
      <c r="D103" s="51"/>
      <c r="E103" s="51"/>
      <c r="F103" s="51"/>
      <c r="G103" s="51"/>
      <c r="H103" s="51"/>
      <c r="I103" s="51"/>
      <c r="J103" s="51"/>
      <c r="K103" s="51"/>
      <c r="L103" s="51"/>
      <c r="M103" s="51"/>
      <c r="P103" s="22" t="s">
        <v>23</v>
      </c>
      <c r="R103" s="213"/>
      <c r="S103" s="36">
        <f t="shared" ref="S103:AB103" si="60">VLOOKUP(S$48&amp;"AllSex"&amp;"Non-Maori"&amp;25,agesextable,7,FALSE)</f>
        <v>9.8389622906710592</v>
      </c>
      <c r="T103" s="36">
        <f t="shared" si="60"/>
        <v>9.8545468879340898</v>
      </c>
      <c r="U103" s="36">
        <f t="shared" si="60"/>
        <v>10.2131267583921</v>
      </c>
      <c r="V103" s="36">
        <f t="shared" si="60"/>
        <v>10.7016127518165</v>
      </c>
      <c r="W103" s="36">
        <f t="shared" si="60"/>
        <v>8.2083834956769195</v>
      </c>
      <c r="X103" s="36">
        <f t="shared" si="60"/>
        <v>9.8484049101333095</v>
      </c>
      <c r="Y103" s="36">
        <f t="shared" si="60"/>
        <v>9.4941000949410004</v>
      </c>
      <c r="Z103" s="36">
        <f t="shared" si="60"/>
        <v>9.8053635338530203</v>
      </c>
      <c r="AA103" s="36">
        <f t="shared" si="60"/>
        <v>10.261105673602099</v>
      </c>
      <c r="AB103" s="36">
        <f t="shared" si="60"/>
        <v>9.1537370131356095</v>
      </c>
    </row>
    <row r="104" spans="2:73" x14ac:dyDescent="0.2">
      <c r="B104" s="51"/>
      <c r="C104" s="51"/>
      <c r="D104" s="51"/>
      <c r="E104" s="51"/>
      <c r="F104" s="51"/>
      <c r="G104" s="51"/>
      <c r="H104" s="51"/>
      <c r="I104" s="51"/>
      <c r="J104" s="51"/>
      <c r="K104" s="51"/>
      <c r="L104" s="51"/>
      <c r="M104" s="51"/>
      <c r="O104" s="24"/>
      <c r="P104" s="24"/>
      <c r="Q104" s="25"/>
      <c r="R104" s="214"/>
      <c r="S104" s="32"/>
      <c r="T104" s="32"/>
      <c r="U104" s="32"/>
      <c r="V104" s="32"/>
      <c r="W104" s="32"/>
      <c r="X104" s="32"/>
      <c r="Y104" s="32"/>
      <c r="Z104" s="32"/>
      <c r="AA104" s="32"/>
      <c r="AB104" s="32"/>
    </row>
    <row r="105" spans="2:73" ht="12" customHeight="1" x14ac:dyDescent="0.2">
      <c r="B105" s="51"/>
      <c r="C105" s="51"/>
      <c r="D105" s="51"/>
      <c r="E105" s="51"/>
      <c r="F105" s="51"/>
      <c r="G105" s="51"/>
      <c r="H105" s="51"/>
      <c r="I105" s="51"/>
      <c r="J105" s="51"/>
      <c r="K105" s="51"/>
      <c r="L105" s="51"/>
      <c r="M105" s="51"/>
      <c r="O105" s="22" t="s">
        <v>17</v>
      </c>
      <c r="P105" s="22" t="s">
        <v>98</v>
      </c>
      <c r="Q105" s="23" t="s">
        <v>19</v>
      </c>
      <c r="R105" s="213"/>
      <c r="S105" s="36">
        <f t="shared" ref="S105:AB105" si="61">VLOOKUP(S$48&amp;"Male"&amp;"Non-Maori"&amp;22,agesextable,7,FALSE)</f>
        <v>19.402562755163899</v>
      </c>
      <c r="T105" s="36">
        <f t="shared" si="61"/>
        <v>26.791150801704902</v>
      </c>
      <c r="U105" s="36">
        <f t="shared" si="61"/>
        <v>28.669493236422401</v>
      </c>
      <c r="V105" s="36">
        <f t="shared" si="61"/>
        <v>19.9163513244374</v>
      </c>
      <c r="W105" s="36">
        <f t="shared" si="61"/>
        <v>24.846190250828201</v>
      </c>
      <c r="X105" s="36">
        <f t="shared" si="61"/>
        <v>27.5319567354966</v>
      </c>
      <c r="Y105" s="36">
        <f t="shared" si="61"/>
        <v>17.1667121844641</v>
      </c>
      <c r="Z105" s="36">
        <f t="shared" si="61"/>
        <v>18.231540565177799</v>
      </c>
      <c r="AA105" s="36">
        <f t="shared" si="61"/>
        <v>18.353338472268099</v>
      </c>
      <c r="AB105" s="36">
        <f t="shared" si="61"/>
        <v>18.709747058611899</v>
      </c>
    </row>
    <row r="106" spans="2:73" x14ac:dyDescent="0.2">
      <c r="B106" s="51"/>
      <c r="C106" s="51"/>
      <c r="D106" s="51"/>
      <c r="E106" s="51"/>
      <c r="F106" s="51"/>
      <c r="G106" s="51"/>
      <c r="H106" s="51"/>
      <c r="I106" s="51"/>
      <c r="J106" s="51"/>
      <c r="K106" s="51"/>
      <c r="L106" s="51"/>
      <c r="M106" s="51"/>
      <c r="P106" s="22" t="s">
        <v>32</v>
      </c>
      <c r="R106" s="213"/>
      <c r="S106" s="36">
        <f t="shared" ref="S106:AB106" si="62">VLOOKUP(S$48&amp;"Male"&amp;"Non-Maori"&amp;23,agesextable,7,FALSE)</f>
        <v>25.875346544819799</v>
      </c>
      <c r="T106" s="36">
        <f t="shared" si="62"/>
        <v>21.701837422235101</v>
      </c>
      <c r="U106" s="36">
        <f t="shared" si="62"/>
        <v>22.622556141297601</v>
      </c>
      <c r="V106" s="36">
        <f t="shared" si="62"/>
        <v>23.758414438446898</v>
      </c>
      <c r="W106" s="36">
        <f t="shared" si="62"/>
        <v>20.4038704249053</v>
      </c>
      <c r="X106" s="36">
        <f t="shared" si="62"/>
        <v>23.994564063362599</v>
      </c>
      <c r="Y106" s="36">
        <f t="shared" si="62"/>
        <v>17.636684303351</v>
      </c>
      <c r="Z106" s="36">
        <f t="shared" si="62"/>
        <v>21.706461846719002</v>
      </c>
      <c r="AA106" s="36">
        <f t="shared" si="62"/>
        <v>19.620931690838798</v>
      </c>
      <c r="AB106" s="36">
        <f t="shared" si="62"/>
        <v>19.0743119623185</v>
      </c>
    </row>
    <row r="107" spans="2:73" ht="23.25" customHeight="1" x14ac:dyDescent="0.2">
      <c r="B107" s="195"/>
      <c r="C107" s="197" t="s">
        <v>68</v>
      </c>
      <c r="D107" s="314" t="s">
        <v>294</v>
      </c>
      <c r="E107" s="315"/>
      <c r="F107" s="315"/>
      <c r="G107" s="315"/>
      <c r="H107" s="315"/>
      <c r="I107" s="315"/>
      <c r="J107" s="315"/>
      <c r="K107" s="315"/>
      <c r="L107" s="315"/>
      <c r="M107" s="195"/>
      <c r="P107" s="272" t="s">
        <v>33</v>
      </c>
      <c r="Q107" s="273"/>
      <c r="R107" s="274"/>
      <c r="S107" s="275">
        <f t="shared" ref="S107:AB107" si="63">VLOOKUP(S$48&amp;"Male"&amp;"Non-Maori"&amp;24,agesextable,7,FALSE)</f>
        <v>20.0105550180315</v>
      </c>
      <c r="T107" s="275">
        <f t="shared" si="63"/>
        <v>25.138044389059601</v>
      </c>
      <c r="U107" s="275">
        <f t="shared" si="63"/>
        <v>23.8014997051142</v>
      </c>
      <c r="V107" s="275">
        <f t="shared" si="63"/>
        <v>22.1734084880637</v>
      </c>
      <c r="W107" s="275">
        <f t="shared" si="63"/>
        <v>21.3219616204691</v>
      </c>
      <c r="X107" s="275">
        <f t="shared" si="63"/>
        <v>19.613852283175</v>
      </c>
      <c r="Y107" s="275">
        <f t="shared" si="63"/>
        <v>25.395148510828498</v>
      </c>
      <c r="Z107" s="275">
        <f t="shared" si="63"/>
        <v>22.328612809784399</v>
      </c>
      <c r="AA107" s="275">
        <f t="shared" si="63"/>
        <v>21.874875710933502</v>
      </c>
      <c r="AB107" s="275">
        <f t="shared" si="63"/>
        <v>21.986650961915998</v>
      </c>
    </row>
    <row r="108" spans="2:73" s="122" customFormat="1" x14ac:dyDescent="0.2">
      <c r="B108" s="219"/>
      <c r="C108" s="220"/>
      <c r="D108" s="220" t="s">
        <v>70</v>
      </c>
      <c r="E108" s="220"/>
      <c r="F108" s="220"/>
      <c r="G108" s="218"/>
      <c r="H108" s="241"/>
      <c r="I108" s="220"/>
      <c r="J108" s="219"/>
      <c r="K108" s="219"/>
      <c r="L108" s="219"/>
      <c r="M108" s="219"/>
      <c r="O108" s="22"/>
      <c r="P108" s="131" t="s">
        <v>23</v>
      </c>
      <c r="Q108" s="132"/>
      <c r="R108" s="135"/>
      <c r="S108" s="232">
        <f t="shared" ref="S108:AB108" si="64">VLOOKUP(S$48&amp;"Male"&amp;"Non-Maori"&amp;25,agesextable,7,FALSE)</f>
        <v>18.316654753395301</v>
      </c>
      <c r="T108" s="232">
        <f t="shared" si="64"/>
        <v>15.281840806881201</v>
      </c>
      <c r="U108" s="232">
        <f t="shared" si="64"/>
        <v>16.995963458678599</v>
      </c>
      <c r="V108" s="232">
        <f t="shared" si="64"/>
        <v>17.730496453900699</v>
      </c>
      <c r="W108" s="232">
        <f t="shared" si="64"/>
        <v>12.360939431396799</v>
      </c>
      <c r="X108" s="232">
        <f t="shared" si="64"/>
        <v>16.070403673235099</v>
      </c>
      <c r="Y108" s="232">
        <f t="shared" si="64"/>
        <v>17.635388345947501</v>
      </c>
      <c r="Z108" s="232">
        <f t="shared" si="64"/>
        <v>17.287609370589902</v>
      </c>
      <c r="AA108" s="232">
        <f t="shared" si="64"/>
        <v>16.6547704020937</v>
      </c>
      <c r="AB108" s="232">
        <f t="shared" si="64"/>
        <v>15.7176069943351</v>
      </c>
      <c r="AC108" s="12"/>
      <c r="AD108" s="12"/>
      <c r="AH108" s="291"/>
      <c r="AI108" s="291"/>
      <c r="AJ108" s="291"/>
      <c r="AK108" s="291"/>
      <c r="AL108" s="291"/>
      <c r="AM108" s="291"/>
      <c r="AN108" s="291"/>
      <c r="AO108" s="291"/>
      <c r="AP108" s="291"/>
      <c r="AQ108" s="291"/>
      <c r="AR108" s="291"/>
      <c r="AS108" s="291"/>
      <c r="AT108" s="291"/>
      <c r="AU108" s="291"/>
      <c r="AV108" s="291"/>
      <c r="AW108" s="291"/>
      <c r="AX108" s="291"/>
      <c r="AY108" s="291"/>
      <c r="AZ108" s="291"/>
      <c r="BA108" s="291"/>
      <c r="BB108" s="291"/>
      <c r="BC108" s="291"/>
      <c r="BD108" s="291"/>
      <c r="BE108" s="291"/>
      <c r="BF108" s="291"/>
      <c r="BG108" s="251"/>
      <c r="BH108" s="251"/>
      <c r="BI108" s="251"/>
      <c r="BJ108" s="251"/>
      <c r="BK108" s="251"/>
      <c r="BL108" s="251"/>
      <c r="BM108" s="251"/>
      <c r="BN108" s="251"/>
      <c r="BO108" s="251"/>
      <c r="BP108" s="251"/>
      <c r="BQ108" s="251"/>
      <c r="BR108" s="251"/>
      <c r="BS108" s="251"/>
      <c r="BT108" s="251"/>
      <c r="BU108" s="251"/>
    </row>
    <row r="109" spans="2:73" x14ac:dyDescent="0.2">
      <c r="B109" s="218"/>
      <c r="C109" s="218" t="s">
        <v>95</v>
      </c>
      <c r="D109" s="218" t="s">
        <v>96</v>
      </c>
      <c r="E109" s="218"/>
      <c r="F109" s="218"/>
      <c r="G109" s="216"/>
      <c r="H109" s="218"/>
      <c r="I109" s="216"/>
      <c r="J109" s="218"/>
      <c r="K109" s="218"/>
      <c r="L109" s="218"/>
      <c r="M109" s="218"/>
      <c r="O109" s="133"/>
      <c r="P109" s="133"/>
      <c r="Q109" s="134"/>
      <c r="R109" s="133"/>
      <c r="S109" s="233"/>
      <c r="T109" s="233"/>
      <c r="U109" s="233"/>
      <c r="V109" s="233"/>
      <c r="W109" s="233"/>
      <c r="X109" s="233"/>
      <c r="Y109" s="233"/>
      <c r="Z109" s="233"/>
      <c r="AA109" s="233"/>
      <c r="AB109" s="233"/>
      <c r="AC109" s="122"/>
      <c r="AD109" s="122"/>
    </row>
    <row r="110" spans="2:73" x14ac:dyDescent="0.2">
      <c r="B110" s="218"/>
      <c r="C110" s="218"/>
      <c r="D110" s="218"/>
      <c r="E110" s="218"/>
      <c r="F110" s="218"/>
      <c r="G110" s="51"/>
      <c r="H110" s="218"/>
      <c r="I110" s="216"/>
      <c r="J110" s="218"/>
      <c r="K110" s="218"/>
      <c r="L110" s="218"/>
      <c r="M110" s="218"/>
      <c r="O110" s="22" t="s">
        <v>5</v>
      </c>
      <c r="P110" s="22" t="s">
        <v>98</v>
      </c>
      <c r="Q110" s="23" t="s">
        <v>19</v>
      </c>
      <c r="R110" s="213"/>
      <c r="S110" s="36">
        <f t="shared" ref="S110:AB110" si="65">VLOOKUP(S$48&amp;"Female"&amp;"Non-Maori"&amp;22,agesextable,7,FALSE)</f>
        <v>5.3926245488862197</v>
      </c>
      <c r="T110" s="36">
        <f t="shared" si="65"/>
        <v>8.3156625504137001</v>
      </c>
      <c r="U110" s="36">
        <f t="shared" si="65"/>
        <v>4.1414727076948603</v>
      </c>
      <c r="V110" s="36">
        <f t="shared" si="65"/>
        <v>7.7961511632678198</v>
      </c>
      <c r="W110" s="36">
        <f t="shared" si="65"/>
        <v>7.3604579840523403</v>
      </c>
      <c r="X110" s="36">
        <f t="shared" si="65"/>
        <v>6.96407357338905</v>
      </c>
      <c r="Y110" s="36">
        <f t="shared" si="65"/>
        <v>7.3625654450261804</v>
      </c>
      <c r="Z110" s="36">
        <f t="shared" si="65"/>
        <v>5.2491318743438597</v>
      </c>
      <c r="AA110" s="36">
        <f t="shared" si="65"/>
        <v>7.5381868676849804</v>
      </c>
      <c r="AB110" s="36">
        <f t="shared" si="65"/>
        <v>5.859375</v>
      </c>
    </row>
    <row r="111" spans="2:73" x14ac:dyDescent="0.2">
      <c r="B111" s="212"/>
      <c r="C111" s="212"/>
      <c r="D111" s="212"/>
      <c r="E111" s="212"/>
      <c r="F111" s="212"/>
      <c r="G111" s="212"/>
      <c r="H111" s="212"/>
      <c r="I111" s="212"/>
      <c r="J111" s="212"/>
      <c r="K111" s="212"/>
      <c r="L111" s="212"/>
      <c r="M111" s="212"/>
      <c r="P111" s="22" t="s">
        <v>32</v>
      </c>
      <c r="R111" s="213"/>
      <c r="S111" s="36">
        <f t="shared" ref="S111:AB111" si="66">VLOOKUP(S$48&amp;"Female"&amp;"Non-Maori"&amp;23,agesextable,7,FALSE)</f>
        <v>7.0840513115067996</v>
      </c>
      <c r="T111" s="36">
        <f t="shared" si="66"/>
        <v>7.7069805976763499</v>
      </c>
      <c r="U111" s="36">
        <f t="shared" si="66"/>
        <v>6.3814975247524801</v>
      </c>
      <c r="V111" s="36">
        <f t="shared" si="66"/>
        <v>8.5296113211204805</v>
      </c>
      <c r="W111" s="36">
        <f t="shared" si="66"/>
        <v>4.2961198226874204</v>
      </c>
      <c r="X111" s="36">
        <f t="shared" si="66"/>
        <v>6.7010918837951801</v>
      </c>
      <c r="Y111" s="36">
        <f t="shared" si="66"/>
        <v>6.7246835443038</v>
      </c>
      <c r="Z111" s="36">
        <f t="shared" si="66"/>
        <v>6.8674580594525603</v>
      </c>
      <c r="AA111" s="36">
        <f t="shared" si="66"/>
        <v>4.2367169295356897</v>
      </c>
      <c r="AB111" s="36">
        <f t="shared" si="66"/>
        <v>7.87889020203726</v>
      </c>
    </row>
    <row r="112" spans="2:73" x14ac:dyDescent="0.2">
      <c r="P112" s="22" t="s">
        <v>33</v>
      </c>
      <c r="R112" s="213"/>
      <c r="S112" s="36">
        <f t="shared" ref="S112:AB112" si="67">VLOOKUP(S$48&amp;"Female"&amp;"Non-Maori"&amp;24,agesextable,7,FALSE)</f>
        <v>8.3240843507214208</v>
      </c>
      <c r="T112" s="36">
        <f t="shared" si="67"/>
        <v>6.6474168553563597</v>
      </c>
      <c r="U112" s="36">
        <f t="shared" si="67"/>
        <v>7.1047236262509399</v>
      </c>
      <c r="V112" s="36">
        <f t="shared" si="67"/>
        <v>7.7616574123828297</v>
      </c>
      <c r="W112" s="36">
        <f t="shared" si="67"/>
        <v>5.8832758079698797</v>
      </c>
      <c r="X112" s="36">
        <f t="shared" si="67"/>
        <v>7.9715357844185597</v>
      </c>
      <c r="Y112" s="36">
        <f t="shared" si="67"/>
        <v>9.2453484340691094</v>
      </c>
      <c r="Z112" s="36">
        <f t="shared" si="67"/>
        <v>8.1747495294766299</v>
      </c>
      <c r="AA112" s="36">
        <f t="shared" si="67"/>
        <v>8.0599812558575401</v>
      </c>
      <c r="AB112" s="36">
        <f t="shared" si="67"/>
        <v>6.4542302869366397</v>
      </c>
    </row>
    <row r="113" spans="3:28" x14ac:dyDescent="0.2">
      <c r="P113" s="22" t="s">
        <v>23</v>
      </c>
      <c r="R113" s="213"/>
      <c r="S113" s="36">
        <f t="shared" ref="S113:AB113" si="68">VLOOKUP(S$48&amp;"Female"&amp;"Non-Maori"&amp;25,agesextable,7,FALSE)</f>
        <v>2.91779123203735</v>
      </c>
      <c r="T113" s="36">
        <f t="shared" si="68"/>
        <v>5.38889886833124</v>
      </c>
      <c r="U113" s="36">
        <f t="shared" si="68"/>
        <v>4.5840826545364797</v>
      </c>
      <c r="V113" s="36">
        <f t="shared" si="68"/>
        <v>4.8262548262548304</v>
      </c>
      <c r="W113" s="36">
        <f t="shared" si="68"/>
        <v>4.70540785803112</v>
      </c>
      <c r="X113" s="36">
        <f t="shared" si="68"/>
        <v>4.5559569136646196</v>
      </c>
      <c r="Y113" s="36">
        <f t="shared" si="68"/>
        <v>2.5182573659027998</v>
      </c>
      <c r="Z113" s="36">
        <f t="shared" si="68"/>
        <v>3.3487579152459799</v>
      </c>
      <c r="AA113" s="36">
        <f t="shared" si="68"/>
        <v>4.7162859248341897</v>
      </c>
      <c r="AB113" s="36">
        <f t="shared" si="68"/>
        <v>3.4264176803152302</v>
      </c>
    </row>
    <row r="115" spans="3:28" x14ac:dyDescent="0.2">
      <c r="O115" s="93" t="s">
        <v>68</v>
      </c>
      <c r="P115" s="93" t="s">
        <v>233</v>
      </c>
      <c r="Q115" s="137"/>
      <c r="R115" s="137"/>
    </row>
    <row r="116" spans="3:28" x14ac:dyDescent="0.2">
      <c r="O116" s="39"/>
      <c r="P116" s="39" t="s">
        <v>70</v>
      </c>
      <c r="Q116" s="128"/>
      <c r="R116" s="128"/>
    </row>
    <row r="117" spans="3:28" x14ac:dyDescent="0.2">
      <c r="O117" s="208" t="s">
        <v>95</v>
      </c>
      <c r="P117" s="208" t="s">
        <v>96</v>
      </c>
      <c r="Q117" s="146"/>
      <c r="R117" s="146"/>
      <c r="S117" s="147"/>
      <c r="T117" s="147"/>
      <c r="U117" s="147"/>
      <c r="V117" s="147"/>
      <c r="W117" s="147"/>
      <c r="X117" s="147"/>
      <c r="Y117" s="147"/>
      <c r="Z117" s="147"/>
      <c r="AA117" s="209"/>
      <c r="AB117" s="271"/>
    </row>
    <row r="118" spans="3:28" x14ac:dyDescent="0.2">
      <c r="O118" s="26"/>
      <c r="P118" s="26"/>
      <c r="Q118" s="27"/>
      <c r="R118" s="213"/>
      <c r="S118" s="85"/>
      <c r="T118" s="85"/>
      <c r="U118" s="85"/>
      <c r="V118" s="85"/>
      <c r="W118" s="85"/>
      <c r="X118" s="85"/>
      <c r="Y118" s="85"/>
      <c r="Z118" s="85"/>
      <c r="AA118" s="85"/>
      <c r="AB118" s="85"/>
    </row>
    <row r="119" spans="3:28" ht="10.5" customHeight="1" x14ac:dyDescent="0.2">
      <c r="O119" s="26"/>
      <c r="P119" s="26"/>
      <c r="Q119" s="27"/>
      <c r="S119" s="85"/>
      <c r="T119" s="85"/>
      <c r="U119" s="85"/>
      <c r="V119" s="85"/>
      <c r="W119" s="85"/>
      <c r="X119" s="85"/>
      <c r="Y119" s="85"/>
      <c r="Z119" s="85"/>
      <c r="AA119" s="89"/>
      <c r="AB119" s="29"/>
    </row>
    <row r="120" spans="3:28" x14ac:dyDescent="0.2">
      <c r="O120" s="90" t="s">
        <v>280</v>
      </c>
    </row>
    <row r="121" spans="3:28" ht="15.75" x14ac:dyDescent="0.25">
      <c r="C121" s="33"/>
      <c r="O121" s="93"/>
      <c r="P121" s="93"/>
      <c r="Q121" s="137"/>
      <c r="R121" s="137"/>
      <c r="S121" s="85"/>
      <c r="T121" s="85"/>
      <c r="U121" s="85"/>
      <c r="V121" s="85"/>
      <c r="W121" s="85"/>
      <c r="X121" s="85"/>
      <c r="Y121" s="85"/>
      <c r="Z121" s="85"/>
      <c r="AA121" s="89"/>
    </row>
  </sheetData>
  <mergeCells count="7">
    <mergeCell ref="O45:AC45"/>
    <mergeCell ref="C4:N4"/>
    <mergeCell ref="C80:L80"/>
    <mergeCell ref="C52:L52"/>
    <mergeCell ref="D107:L107"/>
    <mergeCell ref="C53:L53"/>
    <mergeCell ref="O35:P35"/>
  </mergeCells>
  <hyperlinks>
    <hyperlink ref="O1" location="Contents!A1" display="Back to Contents"/>
    <hyperlink ref="O42" location="'Māori Non-Māori'!A1" display="Back to top"/>
    <hyperlink ref="O120" location="'Māori Non-Māori'!A1" display="Back to top"/>
  </hyperlinks>
  <pageMargins left="0.70866141732283472" right="0.70866141732283472" top="0.74803149606299213" bottom="0.74803149606299213" header="0.31496062992125984" footer="0.31496062992125984"/>
  <pageSetup paperSize="9" scale="40" fitToHeight="0" orientation="landscape" r:id="rId1"/>
  <rowBreaks count="1" manualBreakCount="1">
    <brk id="78"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0"/>
  <sheetViews>
    <sheetView showGridLines="0" zoomScaleNormal="100" workbookViewId="0">
      <selection activeCell="E53" sqref="E53"/>
    </sheetView>
  </sheetViews>
  <sheetFormatPr defaultRowHeight="12.75" x14ac:dyDescent="0.2"/>
  <cols>
    <col min="1" max="1" width="9.140625" style="12"/>
    <col min="2" max="2" width="2.28515625" style="12" customWidth="1"/>
    <col min="3" max="3" width="27.5703125" style="70" customWidth="1"/>
    <col min="4" max="4" width="4" style="12" customWidth="1"/>
    <col min="5" max="5" width="95.28515625" style="82" customWidth="1"/>
    <col min="6" max="6" width="2.28515625" style="12" customWidth="1"/>
    <col min="7" max="7" width="3.5703125" style="12" customWidth="1"/>
    <col min="8" max="16384" width="9.140625" style="12"/>
  </cols>
  <sheetData>
    <row r="1" spans="2:15" x14ac:dyDescent="0.2">
      <c r="H1" s="90" t="s">
        <v>226</v>
      </c>
    </row>
    <row r="2" spans="2:15" ht="36.75" customHeight="1" x14ac:dyDescent="0.35">
      <c r="C2" s="318" t="s">
        <v>181</v>
      </c>
      <c r="D2" s="319"/>
      <c r="E2" s="319"/>
    </row>
    <row r="4" spans="2:15" ht="14.25" x14ac:dyDescent="0.2">
      <c r="B4" s="51"/>
      <c r="C4" s="95"/>
      <c r="D4" s="96"/>
      <c r="E4" s="92"/>
      <c r="F4" s="95"/>
      <c r="G4" s="242"/>
      <c r="H4" s="70"/>
      <c r="I4" s="70"/>
      <c r="J4" s="70"/>
      <c r="K4" s="70"/>
      <c r="L4" s="70"/>
      <c r="M4" s="70"/>
      <c r="N4" s="70"/>
      <c r="O4" s="70"/>
    </row>
    <row r="5" spans="2:15" x14ac:dyDescent="0.2">
      <c r="B5" s="51"/>
      <c r="C5" s="74" t="s">
        <v>236</v>
      </c>
      <c r="D5" s="73"/>
      <c r="E5" s="74" t="s">
        <v>100</v>
      </c>
      <c r="F5" s="51"/>
      <c r="G5" s="51"/>
    </row>
    <row r="6" spans="2:15" x14ac:dyDescent="0.2">
      <c r="B6" s="51"/>
      <c r="C6" s="74"/>
      <c r="D6" s="73"/>
      <c r="E6" s="74" t="s">
        <v>101</v>
      </c>
      <c r="F6" s="51"/>
      <c r="G6" s="51"/>
    </row>
    <row r="7" spans="2:15" ht="24" x14ac:dyDescent="0.2">
      <c r="B7" s="51"/>
      <c r="C7" s="74"/>
      <c r="D7" s="73"/>
      <c r="E7" s="74" t="s">
        <v>102</v>
      </c>
      <c r="F7" s="51"/>
      <c r="G7" s="51"/>
    </row>
    <row r="8" spans="2:15" x14ac:dyDescent="0.2">
      <c r="B8" s="51"/>
      <c r="C8" s="74"/>
      <c r="D8" s="73"/>
      <c r="E8" s="74"/>
      <c r="F8" s="51"/>
      <c r="G8" s="51"/>
    </row>
    <row r="9" spans="2:15" ht="83.25" customHeight="1" x14ac:dyDescent="0.2">
      <c r="B9" s="51"/>
      <c r="C9" s="112" t="s">
        <v>104</v>
      </c>
      <c r="D9" s="73"/>
      <c r="E9" s="74" t="s">
        <v>289</v>
      </c>
      <c r="F9" s="51"/>
      <c r="G9" s="51"/>
    </row>
    <row r="10" spans="2:15" ht="9" customHeight="1" x14ac:dyDescent="0.2">
      <c r="B10" s="51"/>
      <c r="C10" s="112"/>
      <c r="D10" s="73"/>
      <c r="E10" s="74"/>
      <c r="F10" s="51"/>
      <c r="G10" s="51"/>
    </row>
    <row r="11" spans="2:15" ht="36" x14ac:dyDescent="0.2">
      <c r="B11" s="51"/>
      <c r="C11" s="74"/>
      <c r="D11" s="73"/>
      <c r="E11" s="74" t="s">
        <v>105</v>
      </c>
      <c r="F11" s="51"/>
      <c r="G11" s="51"/>
    </row>
    <row r="12" spans="2:15" ht="6.75" customHeight="1" x14ac:dyDescent="0.2">
      <c r="B12" s="51"/>
      <c r="C12" s="74"/>
      <c r="D12" s="73"/>
      <c r="E12" s="74"/>
      <c r="F12" s="51"/>
      <c r="G12" s="51"/>
    </row>
    <row r="13" spans="2:15" ht="24" x14ac:dyDescent="0.2">
      <c r="B13" s="51"/>
      <c r="C13" s="74"/>
      <c r="D13" s="73"/>
      <c r="E13" s="74" t="s">
        <v>106</v>
      </c>
      <c r="F13" s="51"/>
      <c r="G13" s="51"/>
    </row>
    <row r="14" spans="2:15" x14ac:dyDescent="0.2">
      <c r="B14" s="51"/>
      <c r="C14" s="74"/>
      <c r="D14" s="73"/>
      <c r="E14" s="277" t="s">
        <v>287</v>
      </c>
      <c r="F14" s="51"/>
      <c r="G14" s="51"/>
    </row>
    <row r="15" spans="2:15" x14ac:dyDescent="0.2">
      <c r="B15" s="51"/>
      <c r="C15" s="74"/>
      <c r="D15" s="73"/>
      <c r="E15" s="74"/>
      <c r="F15" s="51"/>
      <c r="G15" s="51"/>
    </row>
    <row r="16" spans="2:15" ht="36" customHeight="1" x14ac:dyDescent="0.2">
      <c r="B16" s="51"/>
      <c r="C16" s="112" t="s">
        <v>103</v>
      </c>
      <c r="D16" s="73"/>
      <c r="E16" s="112" t="s">
        <v>278</v>
      </c>
      <c r="F16" s="51"/>
      <c r="G16" s="51"/>
    </row>
    <row r="17" spans="2:7" x14ac:dyDescent="0.2">
      <c r="B17" s="51"/>
      <c r="C17" s="74"/>
      <c r="D17" s="73"/>
      <c r="E17" s="74"/>
      <c r="F17" s="51"/>
      <c r="G17" s="51"/>
    </row>
    <row r="18" spans="2:7" s="122" customFormat="1" ht="27.75" customHeight="1" x14ac:dyDescent="0.2">
      <c r="B18" s="244"/>
      <c r="C18" s="112" t="s">
        <v>107</v>
      </c>
      <c r="D18" s="234"/>
      <c r="E18" s="112" t="s">
        <v>108</v>
      </c>
      <c r="F18" s="244"/>
      <c r="G18" s="244"/>
    </row>
    <row r="19" spans="2:7" ht="15" customHeight="1" x14ac:dyDescent="0.2">
      <c r="B19" s="51"/>
      <c r="C19" s="74"/>
      <c r="D19" s="73"/>
      <c r="E19" s="74" t="s">
        <v>241</v>
      </c>
      <c r="F19" s="51"/>
      <c r="G19" s="51"/>
    </row>
    <row r="20" spans="2:7" x14ac:dyDescent="0.2">
      <c r="B20" s="51"/>
      <c r="C20" s="74"/>
      <c r="D20" s="73"/>
      <c r="E20" s="74"/>
      <c r="F20" s="51"/>
      <c r="G20" s="51"/>
    </row>
    <row r="21" spans="2:7" x14ac:dyDescent="0.2">
      <c r="B21" s="51"/>
      <c r="C21" s="74"/>
      <c r="D21" s="73"/>
      <c r="E21" s="74" t="s">
        <v>109</v>
      </c>
      <c r="F21" s="51"/>
      <c r="G21" s="51"/>
    </row>
    <row r="22" spans="2:7" x14ac:dyDescent="0.2">
      <c r="B22" s="51"/>
      <c r="C22" s="74"/>
      <c r="D22" s="73"/>
      <c r="E22" s="74" t="s">
        <v>110</v>
      </c>
      <c r="F22" s="51"/>
      <c r="G22" s="51"/>
    </row>
    <row r="23" spans="2:7" x14ac:dyDescent="0.2">
      <c r="B23" s="51"/>
      <c r="C23" s="74"/>
      <c r="D23" s="73"/>
      <c r="E23" s="74" t="s">
        <v>111</v>
      </c>
      <c r="F23" s="51"/>
      <c r="G23" s="51"/>
    </row>
    <row r="24" spans="2:7" x14ac:dyDescent="0.2">
      <c r="B24" s="51"/>
      <c r="C24" s="74"/>
      <c r="D24" s="73"/>
      <c r="E24" s="74" t="s">
        <v>112</v>
      </c>
      <c r="F24" s="51"/>
      <c r="G24" s="51"/>
    </row>
    <row r="25" spans="2:7" x14ac:dyDescent="0.2">
      <c r="B25" s="51"/>
      <c r="C25" s="74"/>
      <c r="D25" s="73"/>
      <c r="E25" s="74"/>
      <c r="F25" s="51"/>
      <c r="G25" s="51"/>
    </row>
    <row r="26" spans="2:7" x14ac:dyDescent="0.2">
      <c r="B26" s="51"/>
      <c r="C26" s="74"/>
      <c r="D26" s="73"/>
      <c r="E26" s="74"/>
      <c r="F26" s="51"/>
      <c r="G26" s="51"/>
    </row>
    <row r="27" spans="2:7" ht="23.25" customHeight="1" x14ac:dyDescent="0.2">
      <c r="B27" s="51"/>
      <c r="C27" s="112" t="s">
        <v>183</v>
      </c>
      <c r="D27" s="73"/>
      <c r="E27" s="112" t="s">
        <v>288</v>
      </c>
      <c r="F27" s="51"/>
      <c r="G27" s="51"/>
    </row>
    <row r="28" spans="2:7" ht="24.75" customHeight="1" x14ac:dyDescent="0.2">
      <c r="B28" s="51"/>
      <c r="C28" s="74"/>
      <c r="D28" s="73"/>
      <c r="E28" s="235" t="s">
        <v>239</v>
      </c>
      <c r="F28" s="51"/>
      <c r="G28" s="51"/>
    </row>
    <row r="29" spans="2:7" ht="23.25" customHeight="1" x14ac:dyDescent="0.2">
      <c r="B29" s="51"/>
      <c r="C29" s="74"/>
      <c r="D29" s="73"/>
      <c r="E29" s="112" t="s">
        <v>238</v>
      </c>
      <c r="F29" s="51"/>
      <c r="G29" s="51"/>
    </row>
    <row r="30" spans="2:7" ht="27.75" customHeight="1" x14ac:dyDescent="0.2">
      <c r="B30" s="51"/>
      <c r="C30" s="112" t="s">
        <v>18</v>
      </c>
      <c r="D30" s="234"/>
      <c r="E30" s="112" t="s">
        <v>291</v>
      </c>
      <c r="F30" s="51"/>
      <c r="G30" s="51"/>
    </row>
    <row r="31" spans="2:7" x14ac:dyDescent="0.2">
      <c r="B31" s="51"/>
      <c r="C31" s="112"/>
      <c r="D31" s="234"/>
      <c r="E31" s="112"/>
      <c r="F31" s="51"/>
      <c r="G31" s="51"/>
    </row>
    <row r="32" spans="2:7" ht="28.5" customHeight="1" x14ac:dyDescent="0.2">
      <c r="B32" s="51"/>
      <c r="C32" s="112" t="s">
        <v>164</v>
      </c>
      <c r="D32" s="234"/>
      <c r="E32" s="112" t="s">
        <v>279</v>
      </c>
      <c r="F32" s="51"/>
      <c r="G32" s="51"/>
    </row>
    <row r="33" spans="2:7" x14ac:dyDescent="0.2">
      <c r="B33" s="51"/>
      <c r="C33" s="112"/>
      <c r="D33" s="234"/>
      <c r="E33" s="112"/>
      <c r="F33" s="51"/>
      <c r="G33" s="51"/>
    </row>
    <row r="34" spans="2:7" ht="48" x14ac:dyDescent="0.2">
      <c r="B34" s="51"/>
      <c r="C34" s="112" t="s">
        <v>165</v>
      </c>
      <c r="D34" s="234"/>
      <c r="E34" s="112" t="s">
        <v>240</v>
      </c>
      <c r="F34" s="51"/>
      <c r="G34" s="51"/>
    </row>
    <row r="35" spans="2:7" x14ac:dyDescent="0.2">
      <c r="B35" s="51"/>
      <c r="C35" s="112"/>
      <c r="D35" s="234"/>
      <c r="E35" s="112"/>
      <c r="F35" s="51"/>
      <c r="G35" s="51"/>
    </row>
    <row r="36" spans="2:7" ht="39" customHeight="1" x14ac:dyDescent="0.2">
      <c r="B36" s="51"/>
      <c r="C36" s="112" t="s">
        <v>73</v>
      </c>
      <c r="D36" s="234"/>
      <c r="E36" s="112" t="s">
        <v>167</v>
      </c>
      <c r="F36" s="51"/>
      <c r="G36" s="51"/>
    </row>
    <row r="37" spans="2:7" ht="9" customHeight="1" x14ac:dyDescent="0.2">
      <c r="B37" s="51"/>
      <c r="C37" s="112"/>
      <c r="D37" s="234"/>
      <c r="E37" s="112"/>
      <c r="F37" s="51"/>
      <c r="G37" s="51"/>
    </row>
    <row r="38" spans="2:7" ht="41.25" customHeight="1" x14ac:dyDescent="0.2">
      <c r="B38" s="51"/>
      <c r="C38" s="112" t="s">
        <v>166</v>
      </c>
      <c r="D38" s="234"/>
      <c r="E38" s="112" t="s">
        <v>274</v>
      </c>
      <c r="F38" s="51"/>
      <c r="G38" s="51"/>
    </row>
    <row r="39" spans="2:7" x14ac:dyDescent="0.2">
      <c r="B39" s="51"/>
      <c r="C39" s="73"/>
      <c r="D39" s="73"/>
      <c r="E39" s="74"/>
      <c r="F39" s="51"/>
      <c r="G39" s="51"/>
    </row>
    <row r="40" spans="2:7" ht="30" customHeight="1" x14ac:dyDescent="0.2">
      <c r="B40" s="51"/>
      <c r="C40" s="112" t="s">
        <v>67</v>
      </c>
      <c r="D40" s="73"/>
      <c r="E40" s="112" t="s">
        <v>254</v>
      </c>
      <c r="F40" s="51"/>
      <c r="G40" s="51"/>
    </row>
    <row r="41" spans="2:7" ht="15.75" customHeight="1" x14ac:dyDescent="0.2">
      <c r="B41" s="51"/>
      <c r="C41" s="74" t="s">
        <v>168</v>
      </c>
      <c r="D41" s="73"/>
      <c r="E41" s="123" t="s">
        <v>169</v>
      </c>
      <c r="F41" s="51"/>
      <c r="G41" s="51"/>
    </row>
    <row r="42" spans="2:7" ht="15.75" customHeight="1" x14ac:dyDescent="0.2">
      <c r="B42" s="51"/>
      <c r="C42" s="73"/>
      <c r="D42" s="73"/>
      <c r="E42" s="112" t="s">
        <v>235</v>
      </c>
      <c r="F42" s="51"/>
      <c r="G42" s="51"/>
    </row>
    <row r="43" spans="2:7" x14ac:dyDescent="0.2">
      <c r="B43" s="51"/>
      <c r="C43" s="74"/>
      <c r="D43" s="73"/>
      <c r="E43" s="236" t="s">
        <v>180</v>
      </c>
      <c r="F43" s="51"/>
      <c r="G43" s="51"/>
    </row>
    <row r="44" spans="2:7" x14ac:dyDescent="0.2">
      <c r="B44" s="51"/>
      <c r="C44" s="74"/>
      <c r="D44" s="73"/>
      <c r="E44" s="51"/>
      <c r="F44" s="51"/>
      <c r="G44" s="51"/>
    </row>
    <row r="45" spans="2:7" x14ac:dyDescent="0.2">
      <c r="B45" s="51"/>
      <c r="C45" s="74"/>
      <c r="D45" s="73"/>
      <c r="E45" s="112" t="s">
        <v>275</v>
      </c>
      <c r="F45" s="51"/>
      <c r="G45" s="51"/>
    </row>
    <row r="46" spans="2:7" ht="25.5" x14ac:dyDescent="0.2">
      <c r="B46" s="51"/>
      <c r="C46" s="74"/>
      <c r="D46" s="73"/>
      <c r="E46" s="113" t="s">
        <v>276</v>
      </c>
      <c r="F46" s="51"/>
      <c r="G46" s="51"/>
    </row>
    <row r="47" spans="2:7" x14ac:dyDescent="0.2">
      <c r="B47" s="51"/>
      <c r="C47" s="74"/>
      <c r="D47" s="73"/>
      <c r="E47" s="51"/>
      <c r="F47" s="51"/>
      <c r="G47" s="51"/>
    </row>
    <row r="48" spans="2:7" x14ac:dyDescent="0.2">
      <c r="B48" s="51"/>
      <c r="C48" s="74"/>
      <c r="D48" s="73"/>
      <c r="E48" s="112" t="s">
        <v>170</v>
      </c>
      <c r="F48" s="51"/>
      <c r="G48" s="51"/>
    </row>
    <row r="49" spans="2:7" x14ac:dyDescent="0.2">
      <c r="B49" s="51"/>
      <c r="C49" s="74"/>
      <c r="D49" s="73"/>
      <c r="E49" s="112" t="s">
        <v>171</v>
      </c>
      <c r="F49" s="51"/>
      <c r="G49" s="51"/>
    </row>
    <row r="50" spans="2:7" x14ac:dyDescent="0.2">
      <c r="B50" s="51"/>
      <c r="C50" s="74"/>
      <c r="D50" s="73"/>
      <c r="E50" s="112" t="s">
        <v>172</v>
      </c>
      <c r="F50" s="51"/>
      <c r="G50" s="51"/>
    </row>
    <row r="51" spans="2:7" x14ac:dyDescent="0.2">
      <c r="B51" s="51"/>
      <c r="C51" s="74"/>
      <c r="D51" s="73"/>
      <c r="E51" s="112" t="s">
        <v>285</v>
      </c>
      <c r="F51" s="51"/>
      <c r="G51" s="51"/>
    </row>
    <row r="52" spans="2:7" x14ac:dyDescent="0.2">
      <c r="B52" s="51"/>
      <c r="C52" s="74"/>
      <c r="D52" s="73"/>
      <c r="E52" s="112" t="s">
        <v>173</v>
      </c>
      <c r="F52" s="51"/>
      <c r="G52" s="51"/>
    </row>
    <row r="53" spans="2:7" x14ac:dyDescent="0.2">
      <c r="B53" s="51"/>
      <c r="C53" s="74"/>
      <c r="D53" s="73"/>
      <c r="E53" s="112" t="s">
        <v>174</v>
      </c>
      <c r="F53" s="51"/>
      <c r="G53" s="51"/>
    </row>
    <row r="54" spans="2:7" x14ac:dyDescent="0.2">
      <c r="B54" s="51"/>
      <c r="C54" s="74"/>
      <c r="D54" s="73"/>
      <c r="E54" s="112" t="s">
        <v>175</v>
      </c>
      <c r="F54" s="51"/>
      <c r="G54" s="51"/>
    </row>
    <row r="55" spans="2:7" x14ac:dyDescent="0.2">
      <c r="B55" s="51"/>
      <c r="C55" s="74"/>
      <c r="D55" s="73"/>
      <c r="E55" s="112" t="s">
        <v>176</v>
      </c>
      <c r="F55" s="51"/>
      <c r="G55" s="51"/>
    </row>
    <row r="56" spans="2:7" x14ac:dyDescent="0.2">
      <c r="B56" s="51"/>
      <c r="C56" s="74"/>
      <c r="D56" s="73"/>
      <c r="E56" s="237" t="s">
        <v>177</v>
      </c>
      <c r="F56" s="51"/>
      <c r="G56" s="51"/>
    </row>
    <row r="57" spans="2:7" x14ac:dyDescent="0.2">
      <c r="B57" s="51"/>
      <c r="C57" s="74"/>
      <c r="D57" s="73"/>
      <c r="E57" s="238" t="s">
        <v>178</v>
      </c>
      <c r="F57" s="51"/>
      <c r="G57" s="51"/>
    </row>
    <row r="58" spans="2:7" x14ac:dyDescent="0.2">
      <c r="B58" s="51"/>
      <c r="C58" s="95"/>
      <c r="D58" s="51"/>
      <c r="E58" s="238" t="s">
        <v>179</v>
      </c>
      <c r="F58" s="51"/>
      <c r="G58" s="51"/>
    </row>
    <row r="59" spans="2:7" x14ac:dyDescent="0.2">
      <c r="B59" s="51"/>
      <c r="C59" s="95"/>
      <c r="D59" s="51"/>
      <c r="E59" s="92"/>
      <c r="F59" s="51"/>
      <c r="G59" s="51"/>
    </row>
    <row r="60" spans="2:7" x14ac:dyDescent="0.2">
      <c r="B60" s="51"/>
      <c r="C60" s="268"/>
      <c r="D60" s="51"/>
      <c r="E60" s="92"/>
      <c r="F60" s="51"/>
      <c r="G60" s="51"/>
    </row>
  </sheetData>
  <mergeCells count="1">
    <mergeCell ref="C2:E2"/>
  </mergeCells>
  <hyperlinks>
    <hyperlink ref="E18" r:id="rId1" display="http://www.stats.govt.nz/"/>
    <hyperlink ref="E57" r:id="rId2" display="mailto:enquiries@moh.govt.nz"/>
    <hyperlink ref="E58" r:id="rId3" display="http://www.health.govt.nz/"/>
    <hyperlink ref="E43" r:id="rId4"/>
    <hyperlink ref="H1" location="Contents!A1" display="Back to Contents"/>
    <hyperlink ref="E14" r:id="rId5"/>
    <hyperlink ref="E46" r:id="rId6"/>
  </hyperlinks>
  <pageMargins left="0.7" right="0.7" top="0.75" bottom="0.75" header="0.3" footer="0.3"/>
  <pageSetup paperSize="9" scale="60" orientation="landscape" r:id="rId7"/>
  <rowBreaks count="1" manualBreakCount="1">
    <brk id="3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showGridLines="0" zoomScaleNormal="100" workbookViewId="0">
      <selection activeCell="J28" sqref="J28"/>
    </sheetView>
  </sheetViews>
  <sheetFormatPr defaultRowHeight="12" x14ac:dyDescent="0.2"/>
  <cols>
    <col min="1" max="1" width="9.140625" style="22"/>
    <col min="2" max="2" width="2.28515625" style="22" customWidth="1"/>
    <col min="3" max="3" width="22.28515625" style="23" customWidth="1"/>
    <col min="4" max="4" width="9.140625" style="22"/>
    <col min="5" max="5" width="76" style="22" customWidth="1"/>
    <col min="6" max="6" width="1.7109375" style="22" customWidth="1"/>
    <col min="7" max="16384" width="9.140625" style="22"/>
  </cols>
  <sheetData>
    <row r="1" spans="2:8" s="72" customFormat="1" ht="12.75" x14ac:dyDescent="0.2">
      <c r="C1" s="23"/>
      <c r="H1" s="90" t="s">
        <v>226</v>
      </c>
    </row>
    <row r="2" spans="2:8" s="72" customFormat="1" ht="23.25" x14ac:dyDescent="0.35">
      <c r="C2" s="121" t="s">
        <v>207</v>
      </c>
    </row>
    <row r="4" spans="2:8" x14ac:dyDescent="0.2">
      <c r="B4" s="73"/>
      <c r="C4" s="111"/>
      <c r="D4" s="73"/>
      <c r="E4" s="73"/>
      <c r="F4" s="73"/>
    </row>
    <row r="5" spans="2:8" ht="12.75" x14ac:dyDescent="0.2">
      <c r="B5" s="74"/>
      <c r="C5" s="320" t="s">
        <v>201</v>
      </c>
      <c r="D5" s="309"/>
      <c r="E5" s="309"/>
      <c r="F5" s="73"/>
    </row>
    <row r="6" spans="2:8" ht="15" x14ac:dyDescent="0.2">
      <c r="B6" s="74"/>
      <c r="C6" s="109"/>
      <c r="D6" s="110"/>
      <c r="E6" s="110"/>
      <c r="F6" s="73"/>
    </row>
    <row r="7" spans="2:8" ht="25.5" x14ac:dyDescent="0.2">
      <c r="B7" s="74"/>
      <c r="C7" s="105" t="s">
        <v>113</v>
      </c>
      <c r="D7" s="106" t="s">
        <v>114</v>
      </c>
      <c r="E7" s="107" t="s">
        <v>115</v>
      </c>
      <c r="F7" s="73"/>
    </row>
    <row r="8" spans="2:8" ht="24" x14ac:dyDescent="0.2">
      <c r="B8" s="74"/>
      <c r="C8" s="108" t="s">
        <v>40</v>
      </c>
      <c r="D8" s="98" t="s">
        <v>116</v>
      </c>
      <c r="E8" s="102" t="s">
        <v>117</v>
      </c>
      <c r="F8" s="73"/>
    </row>
    <row r="9" spans="2:8" ht="24" x14ac:dyDescent="0.2">
      <c r="B9" s="74"/>
      <c r="C9" s="102"/>
      <c r="D9" s="98" t="s">
        <v>118</v>
      </c>
      <c r="E9" s="102" t="s">
        <v>119</v>
      </c>
      <c r="F9" s="73"/>
    </row>
    <row r="10" spans="2:8" ht="24" x14ac:dyDescent="0.2">
      <c r="B10" s="74"/>
      <c r="C10" s="102"/>
      <c r="D10" s="98" t="s">
        <v>120</v>
      </c>
      <c r="E10" s="102" t="s">
        <v>121</v>
      </c>
      <c r="F10" s="73"/>
    </row>
    <row r="11" spans="2:8" ht="24" x14ac:dyDescent="0.2">
      <c r="B11" s="74"/>
      <c r="C11" s="102"/>
      <c r="D11" s="98" t="s">
        <v>122</v>
      </c>
      <c r="E11" s="102" t="s">
        <v>123</v>
      </c>
      <c r="F11" s="73"/>
    </row>
    <row r="12" spans="2:8" ht="24" x14ac:dyDescent="0.2">
      <c r="B12" s="74"/>
      <c r="C12" s="102"/>
      <c r="D12" s="98" t="s">
        <v>124</v>
      </c>
      <c r="E12" s="102" t="s">
        <v>125</v>
      </c>
      <c r="F12" s="73"/>
    </row>
    <row r="13" spans="2:8" x14ac:dyDescent="0.2">
      <c r="B13" s="74"/>
      <c r="C13" s="102"/>
      <c r="D13" s="98" t="s">
        <v>126</v>
      </c>
      <c r="E13" s="102" t="s">
        <v>127</v>
      </c>
      <c r="F13" s="73"/>
    </row>
    <row r="14" spans="2:8" x14ac:dyDescent="0.2">
      <c r="B14" s="74"/>
      <c r="C14" s="102"/>
      <c r="D14" s="98" t="s">
        <v>128</v>
      </c>
      <c r="E14" s="102" t="s">
        <v>129</v>
      </c>
      <c r="F14" s="73"/>
    </row>
    <row r="15" spans="2:8" ht="24" x14ac:dyDescent="0.2">
      <c r="B15" s="74"/>
      <c r="C15" s="103"/>
      <c r="D15" s="99" t="s">
        <v>130</v>
      </c>
      <c r="E15" s="103" t="s">
        <v>131</v>
      </c>
      <c r="F15" s="73"/>
    </row>
    <row r="16" spans="2:8" ht="24" x14ac:dyDescent="0.2">
      <c r="B16" s="74"/>
      <c r="C16" s="102" t="s">
        <v>39</v>
      </c>
      <c r="D16" s="100" t="s">
        <v>132</v>
      </c>
      <c r="E16" s="108" t="s">
        <v>133</v>
      </c>
      <c r="F16" s="73"/>
    </row>
    <row r="17" spans="2:6" x14ac:dyDescent="0.2">
      <c r="B17" s="74"/>
      <c r="C17" s="103"/>
      <c r="D17" s="99" t="s">
        <v>134</v>
      </c>
      <c r="E17" s="103" t="s">
        <v>135</v>
      </c>
      <c r="F17" s="73"/>
    </row>
    <row r="18" spans="2:6" ht="24" x14ac:dyDescent="0.2">
      <c r="B18" s="74"/>
      <c r="C18" s="104" t="s">
        <v>36</v>
      </c>
      <c r="D18" s="101" t="s">
        <v>136</v>
      </c>
      <c r="E18" s="104" t="s">
        <v>137</v>
      </c>
      <c r="F18" s="73"/>
    </row>
    <row r="19" spans="2:6" x14ac:dyDescent="0.2">
      <c r="B19" s="74"/>
      <c r="C19" s="104" t="s">
        <v>42</v>
      </c>
      <c r="D19" s="101" t="s">
        <v>138</v>
      </c>
      <c r="E19" s="104" t="s">
        <v>139</v>
      </c>
      <c r="F19" s="73"/>
    </row>
    <row r="20" spans="2:6" x14ac:dyDescent="0.2">
      <c r="B20" s="74"/>
      <c r="C20" s="108" t="s">
        <v>35</v>
      </c>
      <c r="D20" s="98" t="s">
        <v>140</v>
      </c>
      <c r="E20" s="102" t="s">
        <v>141</v>
      </c>
      <c r="F20" s="73"/>
    </row>
    <row r="21" spans="2:6" x14ac:dyDescent="0.2">
      <c r="B21" s="74"/>
      <c r="C21" s="102"/>
      <c r="D21" s="98" t="s">
        <v>142</v>
      </c>
      <c r="E21" s="102" t="s">
        <v>143</v>
      </c>
      <c r="F21" s="73"/>
    </row>
    <row r="22" spans="2:6" x14ac:dyDescent="0.2">
      <c r="B22" s="74"/>
      <c r="C22" s="103"/>
      <c r="D22" s="99" t="s">
        <v>144</v>
      </c>
      <c r="E22" s="103" t="s">
        <v>145</v>
      </c>
      <c r="F22" s="73"/>
    </row>
    <row r="23" spans="2:6" x14ac:dyDescent="0.2">
      <c r="B23" s="74"/>
      <c r="C23" s="104" t="s">
        <v>41</v>
      </c>
      <c r="D23" s="101" t="s">
        <v>146</v>
      </c>
      <c r="E23" s="104" t="s">
        <v>147</v>
      </c>
      <c r="F23" s="73"/>
    </row>
    <row r="24" spans="2:6" x14ac:dyDescent="0.2">
      <c r="B24" s="74"/>
      <c r="C24" s="104" t="s">
        <v>37</v>
      </c>
      <c r="D24" s="101" t="s">
        <v>148</v>
      </c>
      <c r="E24" s="104" t="s">
        <v>149</v>
      </c>
      <c r="F24" s="73"/>
    </row>
    <row r="25" spans="2:6" x14ac:dyDescent="0.2">
      <c r="B25" s="74"/>
      <c r="C25" s="108" t="s">
        <v>38</v>
      </c>
      <c r="D25" s="98" t="s">
        <v>150</v>
      </c>
      <c r="E25" s="102" t="s">
        <v>151</v>
      </c>
      <c r="F25" s="73"/>
    </row>
    <row r="26" spans="2:6" x14ac:dyDescent="0.2">
      <c r="B26" s="74"/>
      <c r="C26" s="102"/>
      <c r="D26" s="98" t="s">
        <v>152</v>
      </c>
      <c r="E26" s="102" t="s">
        <v>153</v>
      </c>
      <c r="F26" s="73"/>
    </row>
    <row r="27" spans="2:6" x14ac:dyDescent="0.2">
      <c r="B27" s="74"/>
      <c r="C27" s="102"/>
      <c r="D27" s="98" t="s">
        <v>154</v>
      </c>
      <c r="E27" s="102" t="s">
        <v>155</v>
      </c>
      <c r="F27" s="73"/>
    </row>
    <row r="28" spans="2:6" x14ac:dyDescent="0.2">
      <c r="B28" s="74"/>
      <c r="C28" s="102"/>
      <c r="D28" s="98" t="s">
        <v>156</v>
      </c>
      <c r="E28" s="102" t="s">
        <v>157</v>
      </c>
      <c r="F28" s="73"/>
    </row>
    <row r="29" spans="2:6" x14ac:dyDescent="0.2">
      <c r="B29" s="74"/>
      <c r="C29" s="102"/>
      <c r="D29" s="98" t="s">
        <v>158</v>
      </c>
      <c r="E29" s="102" t="s">
        <v>159</v>
      </c>
      <c r="F29" s="73"/>
    </row>
    <row r="30" spans="2:6" x14ac:dyDescent="0.2">
      <c r="B30" s="74"/>
      <c r="C30" s="102"/>
      <c r="D30" s="98" t="s">
        <v>160</v>
      </c>
      <c r="E30" s="102" t="s">
        <v>161</v>
      </c>
      <c r="F30" s="73"/>
    </row>
    <row r="31" spans="2:6" x14ac:dyDescent="0.2">
      <c r="B31" s="74"/>
      <c r="C31" s="102"/>
      <c r="D31" s="98" t="s">
        <v>162</v>
      </c>
      <c r="E31" s="102" t="s">
        <v>163</v>
      </c>
      <c r="F31" s="73"/>
    </row>
    <row r="32" spans="2:6" x14ac:dyDescent="0.2">
      <c r="B32" s="74"/>
      <c r="C32" s="111"/>
      <c r="D32" s="73"/>
      <c r="E32" s="73"/>
      <c r="F32" s="73"/>
    </row>
    <row r="33" spans="2:6" ht="12.75" x14ac:dyDescent="0.2">
      <c r="B33" s="74"/>
      <c r="C33" s="321" t="s">
        <v>242</v>
      </c>
      <c r="D33" s="322"/>
      <c r="E33" s="322"/>
      <c r="F33" s="73"/>
    </row>
    <row r="34" spans="2:6" x14ac:dyDescent="0.2">
      <c r="B34" s="74"/>
      <c r="C34" s="239"/>
      <c r="D34" s="240"/>
      <c r="E34" s="240"/>
      <c r="F34" s="73"/>
    </row>
    <row r="35" spans="2:6" x14ac:dyDescent="0.2">
      <c r="B35" s="74"/>
      <c r="C35" s="102"/>
      <c r="D35" s="110"/>
      <c r="E35" s="110"/>
      <c r="F35" s="73"/>
    </row>
  </sheetData>
  <mergeCells count="2">
    <mergeCell ref="C5:E5"/>
    <mergeCell ref="C33:E33"/>
  </mergeCells>
  <hyperlinks>
    <hyperlink ref="H1" location="Contents!A1" display="Back to Contents"/>
  </hyperlinks>
  <pageMargins left="0.7" right="0.7" top="0.75" bottom="0.75" header="0.3" footer="0.3"/>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3"/>
  <sheetViews>
    <sheetView showGridLines="0" topLeftCell="A88" workbookViewId="0">
      <selection activeCell="L31" sqref="L31"/>
    </sheetView>
  </sheetViews>
  <sheetFormatPr defaultColWidth="10.42578125" defaultRowHeight="12.75" x14ac:dyDescent="0.2"/>
  <cols>
    <col min="1" max="1" width="18.7109375" customWidth="1"/>
    <col min="5" max="5" width="13.85546875" customWidth="1"/>
  </cols>
  <sheetData>
    <row r="1" spans="1:10" s="192" customFormat="1" ht="21.75" customHeight="1" x14ac:dyDescent="0.2">
      <c r="B1" s="192" t="s">
        <v>26</v>
      </c>
      <c r="C1" s="193"/>
      <c r="D1" s="193"/>
      <c r="E1" s="193"/>
      <c r="F1" s="193"/>
      <c r="G1" s="193"/>
      <c r="H1" s="194"/>
      <c r="I1" s="194"/>
    </row>
    <row r="2" spans="1:10" ht="14.25" x14ac:dyDescent="0.2">
      <c r="B2" s="3">
        <v>2</v>
      </c>
      <c r="C2" s="2">
        <v>3</v>
      </c>
      <c r="D2" s="2">
        <v>4</v>
      </c>
      <c r="E2" s="2">
        <v>5</v>
      </c>
      <c r="F2" s="2">
        <v>6</v>
      </c>
      <c r="G2" s="4">
        <v>7</v>
      </c>
      <c r="H2" s="4">
        <v>8</v>
      </c>
      <c r="I2" s="4">
        <v>9</v>
      </c>
      <c r="J2" s="4">
        <v>10</v>
      </c>
    </row>
    <row r="3" spans="1:10" x14ac:dyDescent="0.2">
      <c r="A3" t="s">
        <v>25</v>
      </c>
      <c r="B3" t="s">
        <v>9</v>
      </c>
      <c r="C3" t="s">
        <v>7</v>
      </c>
      <c r="D3" t="s">
        <v>8</v>
      </c>
      <c r="E3" t="s">
        <v>10</v>
      </c>
      <c r="F3" t="s">
        <v>11</v>
      </c>
      <c r="G3" t="s">
        <v>12</v>
      </c>
      <c r="H3" t="s">
        <v>13</v>
      </c>
      <c r="I3" t="s">
        <v>243</v>
      </c>
      <c r="J3" t="s">
        <v>244</v>
      </c>
    </row>
    <row r="4" spans="1:10" x14ac:dyDescent="0.2">
      <c r="A4" t="str">
        <f t="shared" ref="A4:A67" si="0">B4&amp;C4&amp;D4&amp;E4</f>
        <v>2007AllSexAllEth19</v>
      </c>
      <c r="B4">
        <v>2007</v>
      </c>
      <c r="C4" t="s">
        <v>14</v>
      </c>
      <c r="D4" t="s">
        <v>24</v>
      </c>
      <c r="E4">
        <v>19</v>
      </c>
      <c r="F4">
        <v>501</v>
      </c>
      <c r="G4">
        <v>11.3776715520784</v>
      </c>
      <c r="H4">
        <v>1</v>
      </c>
      <c r="I4">
        <v>10.3776715520784</v>
      </c>
      <c r="J4">
        <v>12.3776715520784</v>
      </c>
    </row>
    <row r="5" spans="1:10" x14ac:dyDescent="0.2">
      <c r="A5" t="str">
        <f t="shared" si="0"/>
        <v>2008AllSexAllEth19</v>
      </c>
      <c r="B5">
        <v>2008</v>
      </c>
      <c r="C5" t="s">
        <v>14</v>
      </c>
      <c r="D5" t="s">
        <v>24</v>
      </c>
      <c r="E5">
        <v>19</v>
      </c>
      <c r="F5">
        <v>518</v>
      </c>
      <c r="G5">
        <v>11.809655272717</v>
      </c>
      <c r="H5">
        <v>1</v>
      </c>
      <c r="I5">
        <v>10.809655272717</v>
      </c>
      <c r="J5">
        <v>12.809655272717</v>
      </c>
    </row>
    <row r="6" spans="1:10" x14ac:dyDescent="0.2">
      <c r="A6" t="str">
        <f t="shared" si="0"/>
        <v>2009AllSexAllEth19</v>
      </c>
      <c r="B6">
        <v>2009</v>
      </c>
      <c r="C6" t="s">
        <v>14</v>
      </c>
      <c r="D6" t="s">
        <v>24</v>
      </c>
      <c r="E6">
        <v>19</v>
      </c>
      <c r="F6">
        <v>512</v>
      </c>
      <c r="G6">
        <v>11.484055558810701</v>
      </c>
      <c r="H6">
        <v>1</v>
      </c>
      <c r="I6">
        <v>10.484055558810701</v>
      </c>
      <c r="J6">
        <v>12.484055558810701</v>
      </c>
    </row>
    <row r="7" spans="1:10" x14ac:dyDescent="0.2">
      <c r="A7" t="str">
        <f t="shared" si="0"/>
        <v>2010AllSexAllEth19</v>
      </c>
      <c r="B7">
        <v>2010</v>
      </c>
      <c r="C7" t="s">
        <v>14</v>
      </c>
      <c r="D7" t="s">
        <v>24</v>
      </c>
      <c r="E7">
        <v>19</v>
      </c>
      <c r="F7">
        <v>534</v>
      </c>
      <c r="G7">
        <v>11.9073434349195</v>
      </c>
      <c r="H7">
        <v>1</v>
      </c>
      <c r="I7">
        <v>10.9073434349195</v>
      </c>
      <c r="J7">
        <v>12.9073434349195</v>
      </c>
    </row>
    <row r="8" spans="1:10" x14ac:dyDescent="0.2">
      <c r="A8" t="str">
        <f t="shared" si="0"/>
        <v>2011AllSexAllEth19</v>
      </c>
      <c r="B8">
        <v>2011</v>
      </c>
      <c r="C8" t="s">
        <v>14</v>
      </c>
      <c r="D8" t="s">
        <v>24</v>
      </c>
      <c r="E8">
        <v>19</v>
      </c>
      <c r="F8">
        <v>494</v>
      </c>
      <c r="G8">
        <v>11.118020247642701</v>
      </c>
      <c r="H8">
        <v>1</v>
      </c>
      <c r="I8">
        <v>10.118020247642701</v>
      </c>
      <c r="J8">
        <v>12.118020247642701</v>
      </c>
    </row>
    <row r="9" spans="1:10" x14ac:dyDescent="0.2">
      <c r="A9" t="str">
        <f t="shared" si="0"/>
        <v>2012AllSexAllEth19</v>
      </c>
      <c r="B9">
        <v>2012</v>
      </c>
      <c r="C9" t="s">
        <v>14</v>
      </c>
      <c r="D9" t="s">
        <v>24</v>
      </c>
      <c r="E9">
        <v>19</v>
      </c>
      <c r="F9">
        <v>550</v>
      </c>
      <c r="G9">
        <v>12.338278444361899</v>
      </c>
      <c r="H9">
        <v>1</v>
      </c>
      <c r="I9">
        <v>11.338278444361899</v>
      </c>
      <c r="J9">
        <v>13.338278444361899</v>
      </c>
    </row>
    <row r="10" spans="1:10" x14ac:dyDescent="0.2">
      <c r="A10" t="str">
        <f t="shared" si="0"/>
        <v>2013AllSexAllEth19</v>
      </c>
      <c r="B10">
        <v>2013</v>
      </c>
      <c r="C10" t="s">
        <v>14</v>
      </c>
      <c r="D10" t="s">
        <v>24</v>
      </c>
      <c r="E10">
        <v>19</v>
      </c>
      <c r="F10">
        <v>513</v>
      </c>
      <c r="G10">
        <v>11.0080199296969</v>
      </c>
      <c r="H10">
        <v>1</v>
      </c>
      <c r="I10">
        <v>10.0080199296969</v>
      </c>
      <c r="J10">
        <v>12.0080199296969</v>
      </c>
    </row>
    <row r="11" spans="1:10" x14ac:dyDescent="0.2">
      <c r="A11" t="str">
        <f t="shared" si="0"/>
        <v>2014AllSexAllEth19</v>
      </c>
      <c r="B11">
        <v>2014</v>
      </c>
      <c r="C11" t="s">
        <v>14</v>
      </c>
      <c r="D11" t="s">
        <v>24</v>
      </c>
      <c r="E11">
        <v>19</v>
      </c>
      <c r="F11">
        <v>510</v>
      </c>
      <c r="G11">
        <v>10.808867367895701</v>
      </c>
      <c r="H11">
        <v>0.9</v>
      </c>
      <c r="I11">
        <v>9.9088673678957093</v>
      </c>
      <c r="J11">
        <v>11.708867367895699</v>
      </c>
    </row>
    <row r="12" spans="1:10" x14ac:dyDescent="0.2">
      <c r="A12" t="str">
        <f t="shared" si="0"/>
        <v>2015AllSexAllEth19</v>
      </c>
      <c r="B12">
        <v>2015</v>
      </c>
      <c r="C12" t="s">
        <v>14</v>
      </c>
      <c r="D12" t="s">
        <v>24</v>
      </c>
      <c r="E12">
        <v>19</v>
      </c>
      <c r="F12">
        <v>529</v>
      </c>
      <c r="G12">
        <v>11.0870646638965</v>
      </c>
      <c r="H12">
        <v>0.9</v>
      </c>
      <c r="I12">
        <v>10.1870646638965</v>
      </c>
      <c r="J12">
        <v>11.987064663896501</v>
      </c>
    </row>
    <row r="13" spans="1:10" x14ac:dyDescent="0.2">
      <c r="A13" t="str">
        <f t="shared" si="0"/>
        <v>2016AllSexAllEth19</v>
      </c>
      <c r="B13">
        <v>2016</v>
      </c>
      <c r="C13" t="s">
        <v>14</v>
      </c>
      <c r="D13" t="s">
        <v>24</v>
      </c>
      <c r="E13">
        <v>19</v>
      </c>
      <c r="F13">
        <v>553</v>
      </c>
      <c r="G13">
        <v>11.303636553634</v>
      </c>
      <c r="H13">
        <v>0.9</v>
      </c>
      <c r="I13">
        <v>10.403636553634</v>
      </c>
      <c r="J13">
        <v>12.203636553634</v>
      </c>
    </row>
    <row r="14" spans="1:10" x14ac:dyDescent="0.2">
      <c r="A14" t="str">
        <f t="shared" si="0"/>
        <v>2007AllSexMaori19</v>
      </c>
      <c r="B14">
        <v>2007</v>
      </c>
      <c r="C14" t="s">
        <v>14</v>
      </c>
      <c r="D14" t="s">
        <v>15</v>
      </c>
      <c r="E14">
        <v>19</v>
      </c>
      <c r="F14">
        <v>97</v>
      </c>
      <c r="G14">
        <v>16.111509144203101</v>
      </c>
      <c r="H14">
        <v>3.2</v>
      </c>
      <c r="I14">
        <v>12.9115091442031</v>
      </c>
      <c r="J14">
        <v>19.3115091442031</v>
      </c>
    </row>
    <row r="15" spans="1:10" x14ac:dyDescent="0.2">
      <c r="A15" t="str">
        <f t="shared" si="0"/>
        <v>2008AllSexMaori19</v>
      </c>
      <c r="B15">
        <v>2008</v>
      </c>
      <c r="C15" t="s">
        <v>14</v>
      </c>
      <c r="D15" t="s">
        <v>15</v>
      </c>
      <c r="E15">
        <v>19</v>
      </c>
      <c r="F15">
        <v>87</v>
      </c>
      <c r="G15">
        <v>14.0105109663824</v>
      </c>
      <c r="H15">
        <v>2.9</v>
      </c>
      <c r="I15">
        <v>11.1105109663824</v>
      </c>
      <c r="J15">
        <v>16.9105109663824</v>
      </c>
    </row>
    <row r="16" spans="1:10" x14ac:dyDescent="0.2">
      <c r="A16" t="str">
        <f t="shared" si="0"/>
        <v>2009AllSexMaori19</v>
      </c>
      <c r="B16">
        <v>2009</v>
      </c>
      <c r="C16" t="s">
        <v>14</v>
      </c>
      <c r="D16" t="s">
        <v>15</v>
      </c>
      <c r="E16">
        <v>19</v>
      </c>
      <c r="F16">
        <v>83</v>
      </c>
      <c r="G16">
        <v>13.081017831193</v>
      </c>
      <c r="H16">
        <v>2.8</v>
      </c>
      <c r="I16">
        <v>10.281017831192999</v>
      </c>
      <c r="J16">
        <v>15.881017831193001</v>
      </c>
    </row>
    <row r="17" spans="1:10" x14ac:dyDescent="0.2">
      <c r="A17" t="str">
        <f t="shared" si="0"/>
        <v>2010AllSexMaori19</v>
      </c>
      <c r="B17">
        <v>2010</v>
      </c>
      <c r="C17" t="s">
        <v>14</v>
      </c>
      <c r="D17" t="s">
        <v>15</v>
      </c>
      <c r="E17">
        <v>19</v>
      </c>
      <c r="F17">
        <v>102</v>
      </c>
      <c r="G17">
        <v>15.806302990390501</v>
      </c>
      <c r="H17">
        <v>3.1</v>
      </c>
      <c r="I17">
        <v>12.706302990390499</v>
      </c>
      <c r="J17">
        <v>18.9063029903905</v>
      </c>
    </row>
    <row r="18" spans="1:10" x14ac:dyDescent="0.2">
      <c r="A18" t="str">
        <f t="shared" si="0"/>
        <v>2011AllSexMaori19</v>
      </c>
      <c r="B18">
        <v>2011</v>
      </c>
      <c r="C18" t="s">
        <v>14</v>
      </c>
      <c r="D18" t="s">
        <v>15</v>
      </c>
      <c r="E18">
        <v>19</v>
      </c>
      <c r="F18">
        <v>113</v>
      </c>
      <c r="G18">
        <v>17.366835060391999</v>
      </c>
      <c r="H18">
        <v>3.2</v>
      </c>
      <c r="I18">
        <v>14.166835060392</v>
      </c>
      <c r="J18">
        <v>20.566835060391998</v>
      </c>
    </row>
    <row r="19" spans="1:10" x14ac:dyDescent="0.2">
      <c r="A19" t="str">
        <f t="shared" si="0"/>
        <v>2012AllSexMaori19</v>
      </c>
      <c r="B19">
        <v>2012</v>
      </c>
      <c r="C19" t="s">
        <v>14</v>
      </c>
      <c r="D19" t="s">
        <v>15</v>
      </c>
      <c r="E19">
        <v>19</v>
      </c>
      <c r="F19">
        <v>119</v>
      </c>
      <c r="G19">
        <v>17.627168762910401</v>
      </c>
      <c r="H19">
        <v>3.2</v>
      </c>
      <c r="I19">
        <v>14.4271687629104</v>
      </c>
      <c r="J19">
        <v>20.8271687629104</v>
      </c>
    </row>
    <row r="20" spans="1:10" x14ac:dyDescent="0.2">
      <c r="A20" t="str">
        <f t="shared" si="0"/>
        <v>2013AllSexMaori19</v>
      </c>
      <c r="B20">
        <v>2013</v>
      </c>
      <c r="C20" t="s">
        <v>14</v>
      </c>
      <c r="D20" t="s">
        <v>15</v>
      </c>
      <c r="E20">
        <v>19</v>
      </c>
      <c r="F20">
        <v>104</v>
      </c>
      <c r="G20">
        <v>15.8165730495112</v>
      </c>
      <c r="H20">
        <v>3</v>
      </c>
      <c r="I20">
        <v>12.8165730495112</v>
      </c>
      <c r="J20">
        <v>18.816573049511199</v>
      </c>
    </row>
    <row r="21" spans="1:10" x14ac:dyDescent="0.2">
      <c r="A21" t="str">
        <f t="shared" si="0"/>
        <v>2014AllSexMaori19</v>
      </c>
      <c r="B21">
        <v>2014</v>
      </c>
      <c r="C21" t="s">
        <v>14</v>
      </c>
      <c r="D21" t="s">
        <v>15</v>
      </c>
      <c r="E21">
        <v>19</v>
      </c>
      <c r="F21">
        <v>93</v>
      </c>
      <c r="G21">
        <v>14.573975403997499</v>
      </c>
      <c r="H21">
        <v>3</v>
      </c>
      <c r="I21">
        <v>11.573975403997499</v>
      </c>
      <c r="J21">
        <v>17.573975403997501</v>
      </c>
    </row>
    <row r="22" spans="1:10" x14ac:dyDescent="0.2">
      <c r="A22" t="str">
        <f t="shared" si="0"/>
        <v>2015AllSexMaori19</v>
      </c>
      <c r="B22">
        <v>2015</v>
      </c>
      <c r="C22" t="s">
        <v>14</v>
      </c>
      <c r="D22" t="s">
        <v>15</v>
      </c>
      <c r="E22">
        <v>19</v>
      </c>
      <c r="F22">
        <v>118</v>
      </c>
      <c r="G22">
        <v>17.835459808531901</v>
      </c>
      <c r="H22">
        <v>3.2</v>
      </c>
      <c r="I22">
        <v>14.6354598085319</v>
      </c>
      <c r="J22">
        <v>21.0354598085319</v>
      </c>
    </row>
    <row r="23" spans="1:10" x14ac:dyDescent="0.2">
      <c r="A23" t="str">
        <f t="shared" si="0"/>
        <v>2016AllSexMaori19</v>
      </c>
      <c r="B23">
        <v>2016</v>
      </c>
      <c r="C23" t="s">
        <v>14</v>
      </c>
      <c r="D23" t="s">
        <v>15</v>
      </c>
      <c r="E23">
        <v>19</v>
      </c>
      <c r="F23">
        <v>135</v>
      </c>
      <c r="G23">
        <v>20.2849765886093</v>
      </c>
      <c r="H23">
        <v>3.4</v>
      </c>
      <c r="I23">
        <v>16.884976588609302</v>
      </c>
      <c r="J23">
        <v>23.684976588609299</v>
      </c>
    </row>
    <row r="24" spans="1:10" x14ac:dyDescent="0.2">
      <c r="A24" t="str">
        <f t="shared" si="0"/>
        <v>2007AllSexNon-Maori19</v>
      </c>
      <c r="B24">
        <v>2007</v>
      </c>
      <c r="C24" t="s">
        <v>14</v>
      </c>
      <c r="D24" t="s">
        <v>16</v>
      </c>
      <c r="E24">
        <v>19</v>
      </c>
      <c r="F24">
        <v>404</v>
      </c>
      <c r="G24">
        <v>10.318814507971201</v>
      </c>
      <c r="H24">
        <v>1</v>
      </c>
      <c r="I24">
        <v>9.3188145079711795</v>
      </c>
      <c r="J24">
        <v>11.318814507971201</v>
      </c>
    </row>
    <row r="25" spans="1:10" x14ac:dyDescent="0.2">
      <c r="A25" t="str">
        <f t="shared" si="0"/>
        <v>2008AllSexNon-Maori19</v>
      </c>
      <c r="B25">
        <v>2008</v>
      </c>
      <c r="C25" t="s">
        <v>14</v>
      </c>
      <c r="D25" t="s">
        <v>16</v>
      </c>
      <c r="E25">
        <v>19</v>
      </c>
      <c r="F25">
        <v>431</v>
      </c>
      <c r="G25">
        <v>11.1639267014209</v>
      </c>
      <c r="H25">
        <v>1.1000000000000001</v>
      </c>
      <c r="I25">
        <v>10.0639267014209</v>
      </c>
      <c r="J25">
        <v>12.2639267014209</v>
      </c>
    </row>
    <row r="26" spans="1:10" x14ac:dyDescent="0.2">
      <c r="A26" t="str">
        <f t="shared" si="0"/>
        <v>2009AllSexNon-Maori19</v>
      </c>
      <c r="B26">
        <v>2009</v>
      </c>
      <c r="C26" t="s">
        <v>14</v>
      </c>
      <c r="D26" t="s">
        <v>16</v>
      </c>
      <c r="E26">
        <v>19</v>
      </c>
      <c r="F26">
        <v>429</v>
      </c>
      <c r="G26">
        <v>10.9175102802797</v>
      </c>
      <c r="H26">
        <v>1</v>
      </c>
      <c r="I26">
        <v>9.9175102802796804</v>
      </c>
      <c r="J26">
        <v>11.9175102802797</v>
      </c>
    </row>
    <row r="27" spans="1:10" x14ac:dyDescent="0.2">
      <c r="A27" t="str">
        <f t="shared" si="0"/>
        <v>2010AllSexNon-Maori19</v>
      </c>
      <c r="B27">
        <v>2010</v>
      </c>
      <c r="C27" t="s">
        <v>14</v>
      </c>
      <c r="D27" t="s">
        <v>16</v>
      </c>
      <c r="E27">
        <v>19</v>
      </c>
      <c r="F27">
        <v>432</v>
      </c>
      <c r="G27">
        <v>10.8724229875909</v>
      </c>
      <c r="H27">
        <v>1</v>
      </c>
      <c r="I27">
        <v>9.8724229875909106</v>
      </c>
      <c r="J27">
        <v>11.8724229875909</v>
      </c>
    </row>
    <row r="28" spans="1:10" x14ac:dyDescent="0.2">
      <c r="A28" t="str">
        <f t="shared" si="0"/>
        <v>2011AllSexNon-Maori19</v>
      </c>
      <c r="B28">
        <v>2011</v>
      </c>
      <c r="C28" t="s">
        <v>14</v>
      </c>
      <c r="D28" t="s">
        <v>16</v>
      </c>
      <c r="E28">
        <v>19</v>
      </c>
      <c r="F28">
        <v>381</v>
      </c>
      <c r="G28">
        <v>9.6064019829245701</v>
      </c>
      <c r="H28">
        <v>1</v>
      </c>
      <c r="I28">
        <v>8.6064019829245701</v>
      </c>
      <c r="J28">
        <v>10.6064019829246</v>
      </c>
    </row>
    <row r="29" spans="1:10" x14ac:dyDescent="0.2">
      <c r="A29" t="str">
        <f t="shared" si="0"/>
        <v>2012AllSexNon-Maori19</v>
      </c>
      <c r="B29">
        <v>2012</v>
      </c>
      <c r="C29" t="s">
        <v>14</v>
      </c>
      <c r="D29" t="s">
        <v>16</v>
      </c>
      <c r="E29">
        <v>19</v>
      </c>
      <c r="F29">
        <v>431</v>
      </c>
      <c r="G29">
        <v>10.8700975052411</v>
      </c>
      <c r="H29">
        <v>1</v>
      </c>
      <c r="I29">
        <v>9.8700975052411195</v>
      </c>
      <c r="J29">
        <v>11.8700975052411</v>
      </c>
    </row>
    <row r="30" spans="1:10" x14ac:dyDescent="0.2">
      <c r="A30" t="str">
        <f t="shared" si="0"/>
        <v>2013AllSexNon-Maori19</v>
      </c>
      <c r="B30">
        <v>2013</v>
      </c>
      <c r="C30" t="s">
        <v>14</v>
      </c>
      <c r="D30" t="s">
        <v>16</v>
      </c>
      <c r="E30">
        <v>19</v>
      </c>
      <c r="F30">
        <v>409</v>
      </c>
      <c r="G30">
        <v>9.7148957708980408</v>
      </c>
      <c r="H30">
        <v>0.9</v>
      </c>
      <c r="I30">
        <v>8.8148957708980404</v>
      </c>
      <c r="J30">
        <v>10.614895770898</v>
      </c>
    </row>
    <row r="31" spans="1:10" x14ac:dyDescent="0.2">
      <c r="A31" t="str">
        <f t="shared" si="0"/>
        <v>2014AllSexNon-Maori19</v>
      </c>
      <c r="B31">
        <v>2014</v>
      </c>
      <c r="C31" t="s">
        <v>14</v>
      </c>
      <c r="D31" t="s">
        <v>16</v>
      </c>
      <c r="E31">
        <v>19</v>
      </c>
      <c r="F31">
        <v>417</v>
      </c>
      <c r="G31">
        <v>9.8906686786863496</v>
      </c>
      <c r="H31">
        <v>0.9</v>
      </c>
      <c r="I31">
        <v>8.9906686786863492</v>
      </c>
      <c r="J31">
        <v>10.7906686786863</v>
      </c>
    </row>
    <row r="32" spans="1:10" x14ac:dyDescent="0.2">
      <c r="A32" t="str">
        <f t="shared" si="0"/>
        <v>2015AllSexNon-Maori19</v>
      </c>
      <c r="B32">
        <v>2015</v>
      </c>
      <c r="C32" t="s">
        <v>14</v>
      </c>
      <c r="D32" t="s">
        <v>16</v>
      </c>
      <c r="E32">
        <v>19</v>
      </c>
      <c r="F32">
        <v>411</v>
      </c>
      <c r="G32">
        <v>9.6236979515482304</v>
      </c>
      <c r="H32">
        <v>0.9</v>
      </c>
      <c r="I32">
        <v>8.72369795154823</v>
      </c>
      <c r="J32">
        <v>10.523697951548201</v>
      </c>
    </row>
    <row r="33" spans="1:10" x14ac:dyDescent="0.2">
      <c r="A33" t="str">
        <f t="shared" si="0"/>
        <v>2016AllSexNon-Maori19</v>
      </c>
      <c r="B33">
        <v>2016</v>
      </c>
      <c r="C33" t="s">
        <v>14</v>
      </c>
      <c r="D33" t="s">
        <v>16</v>
      </c>
      <c r="E33">
        <v>19</v>
      </c>
      <c r="F33">
        <v>418</v>
      </c>
      <c r="G33">
        <v>9.5245939991947992</v>
      </c>
      <c r="H33">
        <v>0.9</v>
      </c>
      <c r="I33">
        <v>8.6245939991948006</v>
      </c>
      <c r="J33">
        <v>10.4245939991948</v>
      </c>
    </row>
    <row r="34" spans="1:10" x14ac:dyDescent="0.2">
      <c r="A34" t="str">
        <f t="shared" si="0"/>
        <v>2007FemaleAllEth19</v>
      </c>
      <c r="B34">
        <v>2007</v>
      </c>
      <c r="C34" t="s">
        <v>5</v>
      </c>
      <c r="D34" t="s">
        <v>24</v>
      </c>
      <c r="E34">
        <v>19</v>
      </c>
      <c r="F34">
        <v>120</v>
      </c>
      <c r="G34">
        <v>5.16144825407138</v>
      </c>
      <c r="H34">
        <v>0.9</v>
      </c>
      <c r="I34">
        <v>4.2614482540713796</v>
      </c>
      <c r="J34">
        <v>6.0614482540713803</v>
      </c>
    </row>
    <row r="35" spans="1:10" x14ac:dyDescent="0.2">
      <c r="A35" t="str">
        <f t="shared" si="0"/>
        <v>2008FemaleAllEth19</v>
      </c>
      <c r="B35">
        <v>2008</v>
      </c>
      <c r="C35" t="s">
        <v>5</v>
      </c>
      <c r="D35" t="s">
        <v>24</v>
      </c>
      <c r="E35">
        <v>19</v>
      </c>
      <c r="F35">
        <v>139</v>
      </c>
      <c r="G35">
        <v>6.26512973729122</v>
      </c>
      <c r="H35">
        <v>1</v>
      </c>
      <c r="I35">
        <v>5.26512973729122</v>
      </c>
      <c r="J35">
        <v>7.26512973729122</v>
      </c>
    </row>
    <row r="36" spans="1:10" x14ac:dyDescent="0.2">
      <c r="A36" t="str">
        <f t="shared" si="0"/>
        <v>2009FemaleAllEth19</v>
      </c>
      <c r="B36">
        <v>2009</v>
      </c>
      <c r="C36" t="s">
        <v>5</v>
      </c>
      <c r="D36" t="s">
        <v>24</v>
      </c>
      <c r="E36">
        <v>19</v>
      </c>
      <c r="F36">
        <v>118</v>
      </c>
      <c r="G36">
        <v>5.08858477285475</v>
      </c>
      <c r="H36">
        <v>0.9</v>
      </c>
      <c r="I36">
        <v>4.1885847728547496</v>
      </c>
      <c r="J36">
        <v>5.9885847728547503</v>
      </c>
    </row>
    <row r="37" spans="1:10" x14ac:dyDescent="0.2">
      <c r="A37" t="str">
        <f t="shared" si="0"/>
        <v>2010FemaleAllEth19</v>
      </c>
      <c r="B37">
        <v>2010</v>
      </c>
      <c r="C37" t="s">
        <v>5</v>
      </c>
      <c r="D37" t="s">
        <v>24</v>
      </c>
      <c r="E37">
        <v>19</v>
      </c>
      <c r="F37">
        <v>147</v>
      </c>
      <c r="G37">
        <v>6.5442717734968303</v>
      </c>
      <c r="H37">
        <v>1.1000000000000001</v>
      </c>
      <c r="I37">
        <v>5.4442717734968298</v>
      </c>
      <c r="J37">
        <v>7.64427177349683</v>
      </c>
    </row>
    <row r="38" spans="1:10" x14ac:dyDescent="0.2">
      <c r="A38" t="str">
        <f t="shared" si="0"/>
        <v>2011FemaleAllEth19</v>
      </c>
      <c r="B38">
        <v>2011</v>
      </c>
      <c r="C38" t="s">
        <v>5</v>
      </c>
      <c r="D38" t="s">
        <v>24</v>
      </c>
      <c r="E38">
        <v>19</v>
      </c>
      <c r="F38">
        <v>117</v>
      </c>
      <c r="G38">
        <v>5.1499552709199499</v>
      </c>
      <c r="H38">
        <v>0.9</v>
      </c>
      <c r="I38">
        <v>4.2499552709199504</v>
      </c>
      <c r="J38">
        <v>6.0499552709199502</v>
      </c>
    </row>
    <row r="39" spans="1:10" x14ac:dyDescent="0.2">
      <c r="A39" t="str">
        <f t="shared" si="0"/>
        <v>2012FemaleAllEth19</v>
      </c>
      <c r="B39">
        <v>2012</v>
      </c>
      <c r="C39" t="s">
        <v>5</v>
      </c>
      <c r="D39" t="s">
        <v>24</v>
      </c>
      <c r="E39">
        <v>19</v>
      </c>
      <c r="F39">
        <v>145</v>
      </c>
      <c r="G39">
        <v>6.37288192291782</v>
      </c>
      <c r="H39">
        <v>1</v>
      </c>
      <c r="I39">
        <v>5.37288192291782</v>
      </c>
      <c r="J39">
        <v>7.37288192291782</v>
      </c>
    </row>
    <row r="40" spans="1:10" x14ac:dyDescent="0.2">
      <c r="A40" t="str">
        <f t="shared" si="0"/>
        <v>2013FemaleAllEth19</v>
      </c>
      <c r="B40">
        <v>2013</v>
      </c>
      <c r="C40" t="s">
        <v>5</v>
      </c>
      <c r="D40" t="s">
        <v>24</v>
      </c>
      <c r="E40">
        <v>19</v>
      </c>
      <c r="F40">
        <v>148</v>
      </c>
      <c r="G40">
        <v>6.4674511523826501</v>
      </c>
      <c r="H40">
        <v>1</v>
      </c>
      <c r="I40">
        <v>5.4674511523826501</v>
      </c>
      <c r="J40">
        <v>7.4674511523826501</v>
      </c>
    </row>
    <row r="41" spans="1:10" x14ac:dyDescent="0.2">
      <c r="A41" t="str">
        <f t="shared" si="0"/>
        <v>2014FemaleAllEth19</v>
      </c>
      <c r="B41">
        <v>2014</v>
      </c>
      <c r="C41" t="s">
        <v>5</v>
      </c>
      <c r="D41" t="s">
        <v>24</v>
      </c>
      <c r="E41">
        <v>19</v>
      </c>
      <c r="F41">
        <v>131</v>
      </c>
      <c r="G41">
        <v>5.4860225639845002</v>
      </c>
      <c r="H41">
        <v>0.9</v>
      </c>
      <c r="I41">
        <v>4.5860225639844998</v>
      </c>
      <c r="J41">
        <v>6.3860225639844996</v>
      </c>
    </row>
    <row r="42" spans="1:10" x14ac:dyDescent="0.2">
      <c r="A42" t="str">
        <f t="shared" si="0"/>
        <v>2015FemaleAllEth19</v>
      </c>
      <c r="B42">
        <v>2015</v>
      </c>
      <c r="C42" t="s">
        <v>5</v>
      </c>
      <c r="D42" t="s">
        <v>24</v>
      </c>
      <c r="E42">
        <v>19</v>
      </c>
      <c r="F42">
        <v>143</v>
      </c>
      <c r="G42">
        <v>6.0322358448962898</v>
      </c>
      <c r="H42">
        <v>1</v>
      </c>
      <c r="I42">
        <v>5.0322358448962898</v>
      </c>
      <c r="J42">
        <v>7.0322358448962898</v>
      </c>
    </row>
    <row r="43" spans="1:10" x14ac:dyDescent="0.2">
      <c r="A43" t="str">
        <f t="shared" si="0"/>
        <v>2016FemaleAllEth19</v>
      </c>
      <c r="B43">
        <v>2016</v>
      </c>
      <c r="C43" t="s">
        <v>5</v>
      </c>
      <c r="D43" t="s">
        <v>24</v>
      </c>
      <c r="E43">
        <v>19</v>
      </c>
      <c r="F43">
        <v>141</v>
      </c>
      <c r="G43">
        <v>5.8187112457885704</v>
      </c>
      <c r="H43">
        <v>1</v>
      </c>
      <c r="I43">
        <v>4.8187112457885704</v>
      </c>
      <c r="J43">
        <v>6.8187112457885704</v>
      </c>
    </row>
    <row r="44" spans="1:10" x14ac:dyDescent="0.2">
      <c r="A44" t="str">
        <f t="shared" si="0"/>
        <v>2007FemaleMaori19</v>
      </c>
      <c r="B44">
        <v>2007</v>
      </c>
      <c r="C44" t="s">
        <v>5</v>
      </c>
      <c r="D44" t="s">
        <v>15</v>
      </c>
      <c r="E44">
        <v>19</v>
      </c>
      <c r="F44">
        <v>23</v>
      </c>
      <c r="G44">
        <v>7.2545885050603403</v>
      </c>
      <c r="H44">
        <v>3</v>
      </c>
      <c r="I44">
        <v>4.2545885050603403</v>
      </c>
      <c r="J44">
        <v>10.254588505060299</v>
      </c>
    </row>
    <row r="45" spans="1:10" x14ac:dyDescent="0.2">
      <c r="A45" t="str">
        <f t="shared" si="0"/>
        <v>2008FemaleMaori19</v>
      </c>
      <c r="B45">
        <v>2008</v>
      </c>
      <c r="C45" t="s">
        <v>5</v>
      </c>
      <c r="D45" t="s">
        <v>15</v>
      </c>
      <c r="E45">
        <v>19</v>
      </c>
      <c r="F45">
        <v>31</v>
      </c>
      <c r="G45">
        <v>8.8796426541518301</v>
      </c>
      <c r="H45">
        <v>3.1</v>
      </c>
      <c r="I45">
        <v>5.7796426541518304</v>
      </c>
      <c r="J45">
        <v>11.9796426541518</v>
      </c>
    </row>
    <row r="46" spans="1:10" x14ac:dyDescent="0.2">
      <c r="A46" t="str">
        <f t="shared" si="0"/>
        <v>2009FemaleMaori19</v>
      </c>
      <c r="B46">
        <v>2009</v>
      </c>
      <c r="C46" t="s">
        <v>5</v>
      </c>
      <c r="D46" t="s">
        <v>15</v>
      </c>
      <c r="E46">
        <v>19</v>
      </c>
      <c r="F46">
        <v>25</v>
      </c>
      <c r="G46">
        <v>7.3206868063360204</v>
      </c>
      <c r="H46">
        <v>2.9</v>
      </c>
      <c r="I46">
        <v>4.4206868063360201</v>
      </c>
      <c r="J46">
        <v>10.220686806335999</v>
      </c>
    </row>
    <row r="47" spans="1:10" x14ac:dyDescent="0.2">
      <c r="A47" t="str">
        <f t="shared" si="0"/>
        <v>2010FemaleMaori19</v>
      </c>
      <c r="B47">
        <v>2010</v>
      </c>
      <c r="C47" t="s">
        <v>5</v>
      </c>
      <c r="D47" t="s">
        <v>15</v>
      </c>
      <c r="E47">
        <v>19</v>
      </c>
      <c r="F47">
        <v>30</v>
      </c>
      <c r="G47">
        <v>8.74468389486562</v>
      </c>
      <c r="H47">
        <v>3.1</v>
      </c>
      <c r="I47">
        <v>5.6446838948656204</v>
      </c>
      <c r="J47">
        <v>11.8446838948656</v>
      </c>
    </row>
    <row r="48" spans="1:10" x14ac:dyDescent="0.2">
      <c r="A48" t="str">
        <f t="shared" si="0"/>
        <v>2011FemaleMaori19</v>
      </c>
      <c r="B48">
        <v>2011</v>
      </c>
      <c r="C48" t="s">
        <v>5</v>
      </c>
      <c r="D48" t="s">
        <v>15</v>
      </c>
      <c r="E48">
        <v>19</v>
      </c>
      <c r="F48">
        <v>32</v>
      </c>
      <c r="G48">
        <v>9.3323745071337907</v>
      </c>
      <c r="H48">
        <v>3.2</v>
      </c>
      <c r="I48">
        <v>6.1323745071337896</v>
      </c>
      <c r="J48">
        <v>12.532374507133801</v>
      </c>
    </row>
    <row r="49" spans="1:10" x14ac:dyDescent="0.2">
      <c r="A49" t="str">
        <f t="shared" si="0"/>
        <v>2012FemaleMaori19</v>
      </c>
      <c r="B49">
        <v>2012</v>
      </c>
      <c r="C49" t="s">
        <v>5</v>
      </c>
      <c r="D49" t="s">
        <v>15</v>
      </c>
      <c r="E49">
        <v>19</v>
      </c>
      <c r="F49">
        <v>37</v>
      </c>
      <c r="G49">
        <v>10.376266848783301</v>
      </c>
      <c r="H49">
        <v>3.3</v>
      </c>
      <c r="I49">
        <v>7.0762668487832601</v>
      </c>
      <c r="J49">
        <v>13.6762668487833</v>
      </c>
    </row>
    <row r="50" spans="1:10" x14ac:dyDescent="0.2">
      <c r="A50" t="str">
        <f t="shared" si="0"/>
        <v>2013FemaleMaori19</v>
      </c>
      <c r="B50">
        <v>2013</v>
      </c>
      <c r="C50" t="s">
        <v>5</v>
      </c>
      <c r="D50" t="s">
        <v>15</v>
      </c>
      <c r="E50">
        <v>19</v>
      </c>
      <c r="F50">
        <v>39</v>
      </c>
      <c r="G50">
        <v>11.129535195000299</v>
      </c>
      <c r="H50">
        <v>3.5</v>
      </c>
      <c r="I50">
        <v>7.6295351950003099</v>
      </c>
      <c r="J50">
        <v>14.629535195000299</v>
      </c>
    </row>
    <row r="51" spans="1:10" x14ac:dyDescent="0.2">
      <c r="A51" t="str">
        <f t="shared" si="0"/>
        <v>2014FemaleMaori19</v>
      </c>
      <c r="B51">
        <v>2014</v>
      </c>
      <c r="C51" t="s">
        <v>5</v>
      </c>
      <c r="D51" t="s">
        <v>15</v>
      </c>
      <c r="E51">
        <v>19</v>
      </c>
      <c r="F51">
        <v>27</v>
      </c>
      <c r="G51">
        <v>8.0088287466587804</v>
      </c>
      <c r="H51">
        <v>3</v>
      </c>
      <c r="I51">
        <v>5.0088287466587804</v>
      </c>
      <c r="J51">
        <v>11.0088287466588</v>
      </c>
    </row>
    <row r="52" spans="1:10" x14ac:dyDescent="0.2">
      <c r="A52" t="str">
        <f t="shared" si="0"/>
        <v>2015FemaleMaori19</v>
      </c>
      <c r="B52">
        <v>2015</v>
      </c>
      <c r="C52" t="s">
        <v>5</v>
      </c>
      <c r="D52" t="s">
        <v>15</v>
      </c>
      <c r="E52">
        <v>19</v>
      </c>
      <c r="F52">
        <v>40</v>
      </c>
      <c r="G52">
        <v>11.215062247293901</v>
      </c>
      <c r="H52">
        <v>3.5</v>
      </c>
      <c r="I52">
        <v>7.7150622472938801</v>
      </c>
      <c r="J52">
        <v>14.715062247293901</v>
      </c>
    </row>
    <row r="53" spans="1:10" x14ac:dyDescent="0.2">
      <c r="A53" t="str">
        <f t="shared" si="0"/>
        <v>2016FemaleMaori19</v>
      </c>
      <c r="B53">
        <v>2016</v>
      </c>
      <c r="C53" t="s">
        <v>5</v>
      </c>
      <c r="D53" t="s">
        <v>15</v>
      </c>
      <c r="E53">
        <v>19</v>
      </c>
      <c r="F53">
        <v>36</v>
      </c>
      <c r="G53">
        <v>10.149379221506599</v>
      </c>
      <c r="H53">
        <v>3.3</v>
      </c>
      <c r="I53">
        <v>6.8493792215065801</v>
      </c>
      <c r="J53">
        <v>13.4493792215066</v>
      </c>
    </row>
    <row r="54" spans="1:10" x14ac:dyDescent="0.2">
      <c r="A54" t="str">
        <f t="shared" si="0"/>
        <v>2007FemaleNon-Maori19</v>
      </c>
      <c r="B54">
        <v>2007</v>
      </c>
      <c r="C54" t="s">
        <v>5</v>
      </c>
      <c r="D54" t="s">
        <v>16</v>
      </c>
      <c r="E54">
        <v>19</v>
      </c>
      <c r="F54">
        <v>97</v>
      </c>
      <c r="G54">
        <v>4.6012421251756503</v>
      </c>
      <c r="H54">
        <v>0.9</v>
      </c>
      <c r="I54">
        <v>3.70124212517565</v>
      </c>
      <c r="J54">
        <v>5.5012421251756498</v>
      </c>
    </row>
    <row r="55" spans="1:10" x14ac:dyDescent="0.2">
      <c r="A55" t="str">
        <f t="shared" si="0"/>
        <v>2008FemaleNon-Maori19</v>
      </c>
      <c r="B55">
        <v>2008</v>
      </c>
      <c r="C55" t="s">
        <v>5</v>
      </c>
      <c r="D55" t="s">
        <v>16</v>
      </c>
      <c r="E55">
        <v>19</v>
      </c>
      <c r="F55">
        <v>108</v>
      </c>
      <c r="G55">
        <v>5.4589151940525902</v>
      </c>
      <c r="H55">
        <v>1</v>
      </c>
      <c r="I55">
        <v>4.4589151940525902</v>
      </c>
      <c r="J55">
        <v>6.4589151940525902</v>
      </c>
    </row>
    <row r="56" spans="1:10" x14ac:dyDescent="0.2">
      <c r="A56" t="str">
        <f t="shared" si="0"/>
        <v>2009FemaleNon-Maori19</v>
      </c>
      <c r="B56">
        <v>2009</v>
      </c>
      <c r="C56" t="s">
        <v>5</v>
      </c>
      <c r="D56" t="s">
        <v>16</v>
      </c>
      <c r="E56">
        <v>19</v>
      </c>
      <c r="F56">
        <v>93</v>
      </c>
      <c r="G56">
        <v>4.4437437379171101</v>
      </c>
      <c r="H56">
        <v>0.9</v>
      </c>
      <c r="I56">
        <v>3.5437437379171102</v>
      </c>
      <c r="J56">
        <v>5.3437437379171104</v>
      </c>
    </row>
    <row r="57" spans="1:10" x14ac:dyDescent="0.2">
      <c r="A57" t="str">
        <f t="shared" si="0"/>
        <v>2010FemaleNon-Maori19</v>
      </c>
      <c r="B57">
        <v>2010</v>
      </c>
      <c r="C57" t="s">
        <v>5</v>
      </c>
      <c r="D57" t="s">
        <v>16</v>
      </c>
      <c r="E57">
        <v>19</v>
      </c>
      <c r="F57">
        <v>117</v>
      </c>
      <c r="G57">
        <v>5.9134650848101904</v>
      </c>
      <c r="H57">
        <v>1.1000000000000001</v>
      </c>
      <c r="I57">
        <v>4.8134650848101899</v>
      </c>
      <c r="J57">
        <v>7.01346508481019</v>
      </c>
    </row>
    <row r="58" spans="1:10" x14ac:dyDescent="0.2">
      <c r="A58" t="str">
        <f t="shared" si="0"/>
        <v>2011FemaleNon-Maori19</v>
      </c>
      <c r="B58">
        <v>2011</v>
      </c>
      <c r="C58" t="s">
        <v>5</v>
      </c>
      <c r="D58" t="s">
        <v>16</v>
      </c>
      <c r="E58">
        <v>19</v>
      </c>
      <c r="F58">
        <v>85</v>
      </c>
      <c r="G58">
        <v>4.0833090975863904</v>
      </c>
      <c r="H58">
        <v>0.9</v>
      </c>
      <c r="I58">
        <v>3.18330909758639</v>
      </c>
      <c r="J58">
        <v>4.9833090975863898</v>
      </c>
    </row>
    <row r="59" spans="1:10" x14ac:dyDescent="0.2">
      <c r="A59" t="str">
        <f t="shared" si="0"/>
        <v>2012FemaleNon-Maori19</v>
      </c>
      <c r="B59">
        <v>2012</v>
      </c>
      <c r="C59" t="s">
        <v>5</v>
      </c>
      <c r="D59" t="s">
        <v>16</v>
      </c>
      <c r="E59">
        <v>19</v>
      </c>
      <c r="F59">
        <v>108</v>
      </c>
      <c r="G59">
        <v>5.1528651892542001</v>
      </c>
      <c r="H59">
        <v>1</v>
      </c>
      <c r="I59">
        <v>4.1528651892542001</v>
      </c>
      <c r="J59">
        <v>6.1528651892542001</v>
      </c>
    </row>
    <row r="60" spans="1:10" x14ac:dyDescent="0.2">
      <c r="A60" t="str">
        <f t="shared" si="0"/>
        <v>2013FemaleNon-Maori19</v>
      </c>
      <c r="B60">
        <v>2013</v>
      </c>
      <c r="C60" t="s">
        <v>5</v>
      </c>
      <c r="D60" t="s">
        <v>16</v>
      </c>
      <c r="E60">
        <v>19</v>
      </c>
      <c r="F60">
        <v>109</v>
      </c>
      <c r="G60">
        <v>5.2765407142672398</v>
      </c>
      <c r="H60">
        <v>1</v>
      </c>
      <c r="I60">
        <v>4.2765407142672398</v>
      </c>
      <c r="J60">
        <v>6.2765407142672398</v>
      </c>
    </row>
    <row r="61" spans="1:10" x14ac:dyDescent="0.2">
      <c r="A61" t="str">
        <f t="shared" si="0"/>
        <v>2014FemaleNon-Maori19</v>
      </c>
      <c r="B61">
        <v>2014</v>
      </c>
      <c r="C61" t="s">
        <v>5</v>
      </c>
      <c r="D61" t="s">
        <v>16</v>
      </c>
      <c r="E61">
        <v>19</v>
      </c>
      <c r="F61">
        <v>104</v>
      </c>
      <c r="G61">
        <v>4.8294233213266304</v>
      </c>
      <c r="H61">
        <v>0.9</v>
      </c>
      <c r="I61">
        <v>3.9294233213266301</v>
      </c>
      <c r="J61">
        <v>5.7294233213266299</v>
      </c>
    </row>
    <row r="62" spans="1:10" x14ac:dyDescent="0.2">
      <c r="A62" t="str">
        <f t="shared" si="0"/>
        <v>2015FemaleNon-Maori19</v>
      </c>
      <c r="B62">
        <v>2015</v>
      </c>
      <c r="C62" t="s">
        <v>5</v>
      </c>
      <c r="D62" t="s">
        <v>16</v>
      </c>
      <c r="E62">
        <v>19</v>
      </c>
      <c r="F62">
        <v>103</v>
      </c>
      <c r="G62">
        <v>4.7288683499996003</v>
      </c>
      <c r="H62">
        <v>0.9</v>
      </c>
      <c r="I62">
        <v>3.8288683499995999</v>
      </c>
      <c r="J62">
        <v>5.6288683499995997</v>
      </c>
    </row>
    <row r="63" spans="1:10" x14ac:dyDescent="0.2">
      <c r="A63" t="str">
        <f t="shared" si="0"/>
        <v>2016FemaleNon-Maori19</v>
      </c>
      <c r="B63">
        <v>2016</v>
      </c>
      <c r="C63" t="s">
        <v>5</v>
      </c>
      <c r="D63" t="s">
        <v>16</v>
      </c>
      <c r="E63">
        <v>19</v>
      </c>
      <c r="F63">
        <v>105</v>
      </c>
      <c r="G63">
        <v>4.8570007876246901</v>
      </c>
      <c r="H63">
        <v>0.9</v>
      </c>
      <c r="I63">
        <v>3.9570007876246902</v>
      </c>
      <c r="J63">
        <v>5.7570007876246896</v>
      </c>
    </row>
    <row r="64" spans="1:10" x14ac:dyDescent="0.2">
      <c r="A64" t="str">
        <f t="shared" si="0"/>
        <v>2007MaleAllEth19</v>
      </c>
      <c r="B64">
        <v>2007</v>
      </c>
      <c r="C64" t="s">
        <v>17</v>
      </c>
      <c r="D64" t="s">
        <v>24</v>
      </c>
      <c r="E64">
        <v>19</v>
      </c>
      <c r="F64">
        <v>381</v>
      </c>
      <c r="G64">
        <v>17.981880281474702</v>
      </c>
      <c r="H64">
        <v>1.8</v>
      </c>
      <c r="I64">
        <v>16.181880281474701</v>
      </c>
      <c r="J64">
        <v>19.781880281474699</v>
      </c>
    </row>
    <row r="65" spans="1:10" x14ac:dyDescent="0.2">
      <c r="A65" t="str">
        <f t="shared" si="0"/>
        <v>2008MaleAllEth19</v>
      </c>
      <c r="B65">
        <v>2008</v>
      </c>
      <c r="C65" t="s">
        <v>17</v>
      </c>
      <c r="D65" t="s">
        <v>24</v>
      </c>
      <c r="E65">
        <v>19</v>
      </c>
      <c r="F65">
        <v>379</v>
      </c>
      <c r="G65">
        <v>17.700121249097698</v>
      </c>
      <c r="H65">
        <v>1.8</v>
      </c>
      <c r="I65">
        <v>15.900121249097699</v>
      </c>
      <c r="J65">
        <v>19.500121249097699</v>
      </c>
    </row>
    <row r="66" spans="1:10" x14ac:dyDescent="0.2">
      <c r="A66" t="str">
        <f t="shared" si="0"/>
        <v>2009MaleAllEth19</v>
      </c>
      <c r="B66">
        <v>2009</v>
      </c>
      <c r="C66" t="s">
        <v>17</v>
      </c>
      <c r="D66" t="s">
        <v>24</v>
      </c>
      <c r="E66">
        <v>19</v>
      </c>
      <c r="F66">
        <v>394</v>
      </c>
      <c r="G66">
        <v>18.249471294450601</v>
      </c>
      <c r="H66">
        <v>1.8</v>
      </c>
      <c r="I66">
        <v>16.4494712944506</v>
      </c>
      <c r="J66">
        <v>20.049471294450601</v>
      </c>
    </row>
    <row r="67" spans="1:10" x14ac:dyDescent="0.2">
      <c r="A67" t="str">
        <f t="shared" si="0"/>
        <v>2010MaleAllEth19</v>
      </c>
      <c r="B67">
        <v>2010</v>
      </c>
      <c r="C67" t="s">
        <v>17</v>
      </c>
      <c r="D67" t="s">
        <v>24</v>
      </c>
      <c r="E67">
        <v>19</v>
      </c>
      <c r="F67">
        <v>387</v>
      </c>
      <c r="G67">
        <v>17.638688314312301</v>
      </c>
      <c r="H67">
        <v>1.8</v>
      </c>
      <c r="I67">
        <v>15.8386883143123</v>
      </c>
      <c r="J67">
        <v>19.438688314312301</v>
      </c>
    </row>
    <row r="68" spans="1:10" x14ac:dyDescent="0.2">
      <c r="A68" t="str">
        <f t="shared" ref="A68:A131" si="1">B68&amp;C68&amp;D68&amp;E68</f>
        <v>2011MaleAllEth19</v>
      </c>
      <c r="B68">
        <v>2011</v>
      </c>
      <c r="C68" t="s">
        <v>17</v>
      </c>
      <c r="D68" t="s">
        <v>24</v>
      </c>
      <c r="E68">
        <v>19</v>
      </c>
      <c r="F68">
        <v>377</v>
      </c>
      <c r="G68">
        <v>17.402217133944198</v>
      </c>
      <c r="H68">
        <v>1.8</v>
      </c>
      <c r="I68">
        <v>15.602217133944199</v>
      </c>
      <c r="J68">
        <v>19.202217133944199</v>
      </c>
    </row>
    <row r="69" spans="1:10" x14ac:dyDescent="0.2">
      <c r="A69" t="str">
        <f t="shared" si="1"/>
        <v>2012MaleAllEth19</v>
      </c>
      <c r="B69">
        <v>2012</v>
      </c>
      <c r="C69" t="s">
        <v>17</v>
      </c>
      <c r="D69" t="s">
        <v>24</v>
      </c>
      <c r="E69">
        <v>19</v>
      </c>
      <c r="F69">
        <v>405</v>
      </c>
      <c r="G69">
        <v>18.616289554563799</v>
      </c>
      <c r="H69">
        <v>1.8</v>
      </c>
      <c r="I69">
        <v>16.816289554563799</v>
      </c>
      <c r="J69">
        <v>20.4162895545638</v>
      </c>
    </row>
    <row r="70" spans="1:10" x14ac:dyDescent="0.2">
      <c r="A70" t="str">
        <f t="shared" si="1"/>
        <v>2013MaleAllEth19</v>
      </c>
      <c r="B70">
        <v>2013</v>
      </c>
      <c r="C70" t="s">
        <v>17</v>
      </c>
      <c r="D70" t="s">
        <v>24</v>
      </c>
      <c r="E70">
        <v>19</v>
      </c>
      <c r="F70">
        <v>365</v>
      </c>
      <c r="G70">
        <v>15.8972409761442</v>
      </c>
      <c r="H70">
        <v>1.6</v>
      </c>
      <c r="I70">
        <v>14.297240976144201</v>
      </c>
      <c r="J70">
        <v>17.497240976144202</v>
      </c>
    </row>
    <row r="71" spans="1:10" x14ac:dyDescent="0.2">
      <c r="A71" t="str">
        <f t="shared" si="1"/>
        <v>2014MaleAllEth19</v>
      </c>
      <c r="B71">
        <v>2014</v>
      </c>
      <c r="C71" t="s">
        <v>17</v>
      </c>
      <c r="D71" t="s">
        <v>24</v>
      </c>
      <c r="E71">
        <v>19</v>
      </c>
      <c r="F71">
        <v>379</v>
      </c>
      <c r="G71">
        <v>16.4366760918771</v>
      </c>
      <c r="H71">
        <v>1.7</v>
      </c>
      <c r="I71">
        <v>14.736676091877101</v>
      </c>
      <c r="J71">
        <v>18.136676091877099</v>
      </c>
    </row>
    <row r="72" spans="1:10" x14ac:dyDescent="0.2">
      <c r="A72" t="str">
        <f t="shared" si="1"/>
        <v>2015MaleAllEth19</v>
      </c>
      <c r="B72">
        <v>2015</v>
      </c>
      <c r="C72" t="s">
        <v>17</v>
      </c>
      <c r="D72" t="s">
        <v>24</v>
      </c>
      <c r="E72">
        <v>19</v>
      </c>
      <c r="F72">
        <v>386</v>
      </c>
      <c r="G72">
        <v>16.433078219363999</v>
      </c>
      <c r="H72">
        <v>1.6</v>
      </c>
      <c r="I72">
        <v>14.833078219363999</v>
      </c>
      <c r="J72">
        <v>18.033078219364</v>
      </c>
    </row>
    <row r="73" spans="1:10" x14ac:dyDescent="0.2">
      <c r="A73" t="str">
        <f t="shared" si="1"/>
        <v>2016MaleAllEth19</v>
      </c>
      <c r="B73">
        <v>2016</v>
      </c>
      <c r="C73" t="s">
        <v>17</v>
      </c>
      <c r="D73" t="s">
        <v>24</v>
      </c>
      <c r="E73">
        <v>19</v>
      </c>
      <c r="F73">
        <v>412</v>
      </c>
      <c r="G73">
        <v>16.972070209267699</v>
      </c>
      <c r="H73">
        <v>1.6</v>
      </c>
      <c r="I73">
        <v>15.372070209267701</v>
      </c>
      <c r="J73">
        <v>18.5720702092677</v>
      </c>
    </row>
    <row r="74" spans="1:10" x14ac:dyDescent="0.2">
      <c r="A74" t="str">
        <f t="shared" si="1"/>
        <v>2007MaleMaori19</v>
      </c>
      <c r="B74">
        <v>2007</v>
      </c>
      <c r="C74" t="s">
        <v>17</v>
      </c>
      <c r="D74" t="s">
        <v>15</v>
      </c>
      <c r="E74">
        <v>19</v>
      </c>
      <c r="F74">
        <v>74</v>
      </c>
      <c r="G74">
        <v>25.915091779548401</v>
      </c>
      <c r="H74">
        <v>5.9</v>
      </c>
      <c r="I74">
        <v>20.015091779548399</v>
      </c>
      <c r="J74">
        <v>31.8150917795484</v>
      </c>
    </row>
    <row r="75" spans="1:10" x14ac:dyDescent="0.2">
      <c r="A75" t="str">
        <f t="shared" si="1"/>
        <v>2008MaleMaori19</v>
      </c>
      <c r="B75">
        <v>2008</v>
      </c>
      <c r="C75" t="s">
        <v>17</v>
      </c>
      <c r="D75" t="s">
        <v>15</v>
      </c>
      <c r="E75">
        <v>19</v>
      </c>
      <c r="F75">
        <v>56</v>
      </c>
      <c r="G75">
        <v>19.8732690696398</v>
      </c>
      <c r="H75">
        <v>5.2</v>
      </c>
      <c r="I75">
        <v>14.673269069639799</v>
      </c>
      <c r="J75">
        <v>25.0732690696398</v>
      </c>
    </row>
    <row r="76" spans="1:10" x14ac:dyDescent="0.2">
      <c r="A76" t="str">
        <f t="shared" si="1"/>
        <v>2009MaleMaori19</v>
      </c>
      <c r="B76">
        <v>2009</v>
      </c>
      <c r="C76" t="s">
        <v>17</v>
      </c>
      <c r="D76" t="s">
        <v>15</v>
      </c>
      <c r="E76">
        <v>19</v>
      </c>
      <c r="F76">
        <v>58</v>
      </c>
      <c r="G76">
        <v>19.4811396989931</v>
      </c>
      <c r="H76">
        <v>5</v>
      </c>
      <c r="I76">
        <v>14.4811396989931</v>
      </c>
      <c r="J76">
        <v>24.4811396989931</v>
      </c>
    </row>
    <row r="77" spans="1:10" x14ac:dyDescent="0.2">
      <c r="A77" t="str">
        <f t="shared" si="1"/>
        <v>2010MaleMaori19</v>
      </c>
      <c r="B77">
        <v>2010</v>
      </c>
      <c r="C77" t="s">
        <v>17</v>
      </c>
      <c r="D77" t="s">
        <v>15</v>
      </c>
      <c r="E77">
        <v>19</v>
      </c>
      <c r="F77">
        <v>72</v>
      </c>
      <c r="G77">
        <v>23.689392361421</v>
      </c>
      <c r="H77">
        <v>5.5</v>
      </c>
      <c r="I77">
        <v>18.189392361421</v>
      </c>
      <c r="J77">
        <v>29.189392361421</v>
      </c>
    </row>
    <row r="78" spans="1:10" x14ac:dyDescent="0.2">
      <c r="A78" t="str">
        <f t="shared" si="1"/>
        <v>2011MaleMaori19</v>
      </c>
      <c r="B78">
        <v>2011</v>
      </c>
      <c r="C78" t="s">
        <v>17</v>
      </c>
      <c r="D78" t="s">
        <v>15</v>
      </c>
      <c r="E78">
        <v>19</v>
      </c>
      <c r="F78">
        <v>81</v>
      </c>
      <c r="G78">
        <v>26.239623561034499</v>
      </c>
      <c r="H78">
        <v>5.7</v>
      </c>
      <c r="I78">
        <v>20.539623561034499</v>
      </c>
      <c r="J78">
        <v>31.939623561034502</v>
      </c>
    </row>
    <row r="79" spans="1:10" x14ac:dyDescent="0.2">
      <c r="A79" t="str">
        <f t="shared" si="1"/>
        <v>2012MaleMaori19</v>
      </c>
      <c r="B79">
        <v>2012</v>
      </c>
      <c r="C79" t="s">
        <v>17</v>
      </c>
      <c r="D79" t="s">
        <v>15</v>
      </c>
      <c r="E79">
        <v>19</v>
      </c>
      <c r="F79">
        <v>82</v>
      </c>
      <c r="G79">
        <v>25.657974492525501</v>
      </c>
      <c r="H79">
        <v>5.6</v>
      </c>
      <c r="I79">
        <v>20.057974492525499</v>
      </c>
      <c r="J79">
        <v>31.257974492525499</v>
      </c>
    </row>
    <row r="80" spans="1:10" x14ac:dyDescent="0.2">
      <c r="A80" t="str">
        <f t="shared" si="1"/>
        <v>2013MaleMaori19</v>
      </c>
      <c r="B80">
        <v>2013</v>
      </c>
      <c r="C80" t="s">
        <v>17</v>
      </c>
      <c r="D80" t="s">
        <v>15</v>
      </c>
      <c r="E80">
        <v>19</v>
      </c>
      <c r="F80">
        <v>65</v>
      </c>
      <c r="G80">
        <v>21.1859227055823</v>
      </c>
      <c r="H80">
        <v>5.2</v>
      </c>
      <c r="I80">
        <v>15.985922705582301</v>
      </c>
      <c r="J80">
        <v>26.385922705582299</v>
      </c>
    </row>
    <row r="81" spans="1:10" x14ac:dyDescent="0.2">
      <c r="A81" t="str">
        <f t="shared" si="1"/>
        <v>2014MaleMaori19</v>
      </c>
      <c r="B81">
        <v>2014</v>
      </c>
      <c r="C81" t="s">
        <v>17</v>
      </c>
      <c r="D81" t="s">
        <v>15</v>
      </c>
      <c r="E81">
        <v>19</v>
      </c>
      <c r="F81">
        <v>66</v>
      </c>
      <c r="G81">
        <v>22.014569367455099</v>
      </c>
      <c r="H81">
        <v>5.3</v>
      </c>
      <c r="I81">
        <v>16.714569367455098</v>
      </c>
      <c r="J81">
        <v>27.3145693674551</v>
      </c>
    </row>
    <row r="82" spans="1:10" x14ac:dyDescent="0.2">
      <c r="A82" t="str">
        <f t="shared" si="1"/>
        <v>2015MaleMaori19</v>
      </c>
      <c r="B82">
        <v>2015</v>
      </c>
      <c r="C82" t="s">
        <v>17</v>
      </c>
      <c r="D82" t="s">
        <v>15</v>
      </c>
      <c r="E82">
        <v>19</v>
      </c>
      <c r="F82">
        <v>78</v>
      </c>
      <c r="G82">
        <v>25.5838413177833</v>
      </c>
      <c r="H82">
        <v>5.7</v>
      </c>
      <c r="I82">
        <v>19.8838413177833</v>
      </c>
      <c r="J82">
        <v>31.283841317783299</v>
      </c>
    </row>
    <row r="83" spans="1:10" x14ac:dyDescent="0.2">
      <c r="A83" t="str">
        <f t="shared" si="1"/>
        <v>2016MaleMaori19</v>
      </c>
      <c r="B83">
        <v>2016</v>
      </c>
      <c r="C83" t="s">
        <v>17</v>
      </c>
      <c r="D83" t="s">
        <v>15</v>
      </c>
      <c r="E83">
        <v>19</v>
      </c>
      <c r="F83">
        <v>99</v>
      </c>
      <c r="G83">
        <v>31.730023026068</v>
      </c>
      <c r="H83">
        <v>6.3</v>
      </c>
      <c r="I83">
        <v>25.430023026068</v>
      </c>
      <c r="J83">
        <v>38.030023026068001</v>
      </c>
    </row>
    <row r="84" spans="1:10" x14ac:dyDescent="0.2">
      <c r="A84" t="str">
        <f t="shared" si="1"/>
        <v>2007MaleNon-Maori19</v>
      </c>
      <c r="B84">
        <v>2007</v>
      </c>
      <c r="C84" t="s">
        <v>17</v>
      </c>
      <c r="D84" t="s">
        <v>16</v>
      </c>
      <c r="E84">
        <v>19</v>
      </c>
      <c r="F84">
        <v>307</v>
      </c>
      <c r="G84">
        <v>16.348296242666599</v>
      </c>
      <c r="H84">
        <v>1.8</v>
      </c>
      <c r="I84">
        <v>14.5482962426666</v>
      </c>
      <c r="J84">
        <v>18.1482962426666</v>
      </c>
    </row>
    <row r="85" spans="1:10" x14ac:dyDescent="0.2">
      <c r="A85" t="str">
        <f t="shared" si="1"/>
        <v>2008MaleNon-Maori19</v>
      </c>
      <c r="B85">
        <v>2008</v>
      </c>
      <c r="C85" t="s">
        <v>17</v>
      </c>
      <c r="D85" t="s">
        <v>16</v>
      </c>
      <c r="E85">
        <v>19</v>
      </c>
      <c r="F85">
        <v>323</v>
      </c>
      <c r="G85">
        <v>17.136851166956198</v>
      </c>
      <c r="H85">
        <v>1.9</v>
      </c>
      <c r="I85">
        <v>15.2368511669562</v>
      </c>
      <c r="J85">
        <v>19.0368511669562</v>
      </c>
    </row>
    <row r="86" spans="1:10" x14ac:dyDescent="0.2">
      <c r="A86" t="str">
        <f t="shared" si="1"/>
        <v>2009MaleNon-Maori19</v>
      </c>
      <c r="B86">
        <v>2009</v>
      </c>
      <c r="C86" t="s">
        <v>17</v>
      </c>
      <c r="D86" t="s">
        <v>16</v>
      </c>
      <c r="E86">
        <v>19</v>
      </c>
      <c r="F86">
        <v>336</v>
      </c>
      <c r="G86">
        <v>17.704891753148601</v>
      </c>
      <c r="H86">
        <v>1.9</v>
      </c>
      <c r="I86">
        <v>15.804891753148601</v>
      </c>
      <c r="J86">
        <v>19.6048917531486</v>
      </c>
    </row>
    <row r="87" spans="1:10" x14ac:dyDescent="0.2">
      <c r="A87" t="str">
        <f t="shared" si="1"/>
        <v>2010MaleNon-Maori19</v>
      </c>
      <c r="B87">
        <v>2010</v>
      </c>
      <c r="C87" t="s">
        <v>17</v>
      </c>
      <c r="D87" t="s">
        <v>16</v>
      </c>
      <c r="E87">
        <v>19</v>
      </c>
      <c r="F87">
        <v>315</v>
      </c>
      <c r="G87">
        <v>16.134328558354198</v>
      </c>
      <c r="H87">
        <v>1.8</v>
      </c>
      <c r="I87">
        <v>14.3343285583542</v>
      </c>
      <c r="J87">
        <v>17.934328558354199</v>
      </c>
    </row>
    <row r="88" spans="1:10" x14ac:dyDescent="0.2">
      <c r="A88" t="str">
        <f t="shared" si="1"/>
        <v>2011MaleNon-Maori19</v>
      </c>
      <c r="B88">
        <v>2011</v>
      </c>
      <c r="C88" t="s">
        <v>17</v>
      </c>
      <c r="D88" t="s">
        <v>16</v>
      </c>
      <c r="E88">
        <v>19</v>
      </c>
      <c r="F88">
        <v>296</v>
      </c>
      <c r="G88">
        <v>15.374728749309</v>
      </c>
      <c r="H88">
        <v>1.8</v>
      </c>
      <c r="I88">
        <v>13.574728749308999</v>
      </c>
      <c r="J88">
        <v>17.174728749309001</v>
      </c>
    </row>
    <row r="89" spans="1:10" x14ac:dyDescent="0.2">
      <c r="A89" t="str">
        <f t="shared" si="1"/>
        <v>2012MaleNon-Maori19</v>
      </c>
      <c r="B89">
        <v>2012</v>
      </c>
      <c r="C89" t="s">
        <v>17</v>
      </c>
      <c r="D89" t="s">
        <v>16</v>
      </c>
      <c r="E89">
        <v>19</v>
      </c>
      <c r="F89">
        <v>323</v>
      </c>
      <c r="G89">
        <v>16.829965457080299</v>
      </c>
      <c r="H89">
        <v>1.8</v>
      </c>
      <c r="I89">
        <v>15.0299654570803</v>
      </c>
      <c r="J89">
        <v>18.629965457080299</v>
      </c>
    </row>
    <row r="90" spans="1:10" x14ac:dyDescent="0.2">
      <c r="A90" t="str">
        <f t="shared" si="1"/>
        <v>2013MaleNon-Maori19</v>
      </c>
      <c r="B90">
        <v>2013</v>
      </c>
      <c r="C90" t="s">
        <v>17</v>
      </c>
      <c r="D90" t="s">
        <v>16</v>
      </c>
      <c r="E90">
        <v>19</v>
      </c>
      <c r="F90">
        <v>300</v>
      </c>
      <c r="G90">
        <v>14.441701119553899</v>
      </c>
      <c r="H90">
        <v>1.6</v>
      </c>
      <c r="I90">
        <v>12.8417011195539</v>
      </c>
      <c r="J90">
        <v>16.041701119553899</v>
      </c>
    </row>
    <row r="91" spans="1:10" x14ac:dyDescent="0.2">
      <c r="A91" t="str">
        <f t="shared" si="1"/>
        <v>2014MaleNon-Maori19</v>
      </c>
      <c r="B91">
        <v>2014</v>
      </c>
      <c r="C91" t="s">
        <v>17</v>
      </c>
      <c r="D91" t="s">
        <v>16</v>
      </c>
      <c r="E91">
        <v>19</v>
      </c>
      <c r="F91">
        <v>313</v>
      </c>
      <c r="G91">
        <v>15.1820100358589</v>
      </c>
      <c r="H91">
        <v>1.7</v>
      </c>
      <c r="I91">
        <v>13.482010035858901</v>
      </c>
      <c r="J91">
        <v>16.882010035858901</v>
      </c>
    </row>
    <row r="92" spans="1:10" x14ac:dyDescent="0.2">
      <c r="A92" t="str">
        <f t="shared" si="1"/>
        <v>2015MaleNon-Maori19</v>
      </c>
      <c r="B92">
        <v>2015</v>
      </c>
      <c r="C92" t="s">
        <v>17</v>
      </c>
      <c r="D92" t="s">
        <v>16</v>
      </c>
      <c r="E92">
        <v>19</v>
      </c>
      <c r="F92">
        <v>308</v>
      </c>
      <c r="G92">
        <v>14.713503479130599</v>
      </c>
      <c r="H92">
        <v>1.6</v>
      </c>
      <c r="I92">
        <v>13.1135034791306</v>
      </c>
      <c r="J92">
        <v>16.313503479130599</v>
      </c>
    </row>
    <row r="93" spans="1:10" x14ac:dyDescent="0.2">
      <c r="A93" t="str">
        <f t="shared" si="1"/>
        <v>2016MaleNon-Maori19</v>
      </c>
      <c r="B93">
        <v>2016</v>
      </c>
      <c r="C93" t="s">
        <v>17</v>
      </c>
      <c r="D93" t="s">
        <v>16</v>
      </c>
      <c r="E93">
        <v>19</v>
      </c>
      <c r="F93">
        <v>313</v>
      </c>
      <c r="G93">
        <v>14.310220695280099</v>
      </c>
      <c r="H93">
        <v>1.6</v>
      </c>
      <c r="I93">
        <v>12.7102206952801</v>
      </c>
      <c r="J93">
        <v>15.910220695280101</v>
      </c>
    </row>
    <row r="94" spans="1:10" x14ac:dyDescent="0.2">
      <c r="A94" t="str">
        <f t="shared" si="1"/>
        <v>2007AllSexAllEth21</v>
      </c>
      <c r="B94">
        <v>2007</v>
      </c>
      <c r="C94" t="s">
        <v>14</v>
      </c>
      <c r="D94" t="s">
        <v>24</v>
      </c>
      <c r="E94">
        <v>21</v>
      </c>
      <c r="F94">
        <v>2</v>
      </c>
      <c r="G94">
        <v>0.224403927068724</v>
      </c>
      <c r="H94">
        <v>0.3</v>
      </c>
      <c r="I94">
        <v>-7.5596072931276306E-2</v>
      </c>
      <c r="J94">
        <v>0.52440392706872396</v>
      </c>
    </row>
    <row r="95" spans="1:10" x14ac:dyDescent="0.2">
      <c r="A95" t="str">
        <f t="shared" si="1"/>
        <v>2007AllSexAllEth22</v>
      </c>
      <c r="B95">
        <v>2007</v>
      </c>
      <c r="C95" t="s">
        <v>14</v>
      </c>
      <c r="D95" t="s">
        <v>24</v>
      </c>
      <c r="E95">
        <v>22</v>
      </c>
      <c r="F95">
        <v>94</v>
      </c>
      <c r="G95">
        <v>15.499274502044599</v>
      </c>
      <c r="H95">
        <v>3.1</v>
      </c>
      <c r="I95">
        <v>12.3992745020446</v>
      </c>
      <c r="J95">
        <v>18.599274502044601</v>
      </c>
    </row>
    <row r="96" spans="1:10" x14ac:dyDescent="0.2">
      <c r="A96" t="str">
        <f t="shared" si="1"/>
        <v>2007AllSexAllEth23</v>
      </c>
      <c r="B96">
        <v>2007</v>
      </c>
      <c r="C96" t="s">
        <v>14</v>
      </c>
      <c r="D96" t="s">
        <v>24</v>
      </c>
      <c r="E96">
        <v>23</v>
      </c>
      <c r="F96">
        <v>213</v>
      </c>
      <c r="G96">
        <v>18.0761233928799</v>
      </c>
      <c r="H96">
        <v>2.4</v>
      </c>
      <c r="I96">
        <v>15.6761233928799</v>
      </c>
      <c r="J96">
        <v>20.476123392879899</v>
      </c>
    </row>
    <row r="97" spans="1:10" x14ac:dyDescent="0.2">
      <c r="A97" t="str">
        <f t="shared" si="1"/>
        <v>2007AllSexAllEth24</v>
      </c>
      <c r="B97">
        <v>2007</v>
      </c>
      <c r="C97" t="s">
        <v>14</v>
      </c>
      <c r="D97" t="s">
        <v>24</v>
      </c>
      <c r="E97">
        <v>24</v>
      </c>
      <c r="F97">
        <v>142</v>
      </c>
      <c r="G97">
        <v>13.8509559110417</v>
      </c>
      <c r="H97">
        <v>2.2999999999999998</v>
      </c>
      <c r="I97">
        <v>11.550955911041701</v>
      </c>
      <c r="J97">
        <v>16.150955911041699</v>
      </c>
    </row>
    <row r="98" spans="1:10" x14ac:dyDescent="0.2">
      <c r="A98" t="str">
        <f t="shared" si="1"/>
        <v>2007AllSexAllEth25</v>
      </c>
      <c r="B98">
        <v>2007</v>
      </c>
      <c r="C98" t="s">
        <v>14</v>
      </c>
      <c r="D98" t="s">
        <v>24</v>
      </c>
      <c r="E98">
        <v>25</v>
      </c>
      <c r="F98">
        <v>50</v>
      </c>
      <c r="G98">
        <v>9.5254424568021197</v>
      </c>
      <c r="H98">
        <v>2.6</v>
      </c>
      <c r="I98">
        <v>6.92544245680212</v>
      </c>
      <c r="J98">
        <v>12.1254424568021</v>
      </c>
    </row>
    <row r="99" spans="1:10" x14ac:dyDescent="0.2">
      <c r="A99" t="str">
        <f t="shared" si="1"/>
        <v>2007AllSexMaori21</v>
      </c>
      <c r="B99">
        <v>2007</v>
      </c>
      <c r="C99" t="s">
        <v>14</v>
      </c>
      <c r="D99" t="s">
        <v>15</v>
      </c>
      <c r="E99">
        <v>21</v>
      </c>
      <c r="F99">
        <v>1</v>
      </c>
      <c r="G99">
        <v>0.45764495904077601</v>
      </c>
      <c r="H99">
        <v>0.9</v>
      </c>
      <c r="I99">
        <v>-0.44235504095922401</v>
      </c>
      <c r="J99">
        <v>1.35764495904078</v>
      </c>
    </row>
    <row r="100" spans="1:10" x14ac:dyDescent="0.2">
      <c r="A100" t="str">
        <f t="shared" si="1"/>
        <v>2007AllSexMaori22</v>
      </c>
      <c r="B100">
        <v>2007</v>
      </c>
      <c r="C100" t="s">
        <v>14</v>
      </c>
      <c r="D100" t="s">
        <v>15</v>
      </c>
      <c r="E100">
        <v>22</v>
      </c>
      <c r="F100">
        <v>33</v>
      </c>
      <c r="G100">
        <v>27.961362480935399</v>
      </c>
      <c r="H100">
        <v>9.5</v>
      </c>
      <c r="I100">
        <v>18.461362480935399</v>
      </c>
      <c r="J100">
        <v>37.461362480935399</v>
      </c>
    </row>
    <row r="101" spans="1:10" x14ac:dyDescent="0.2">
      <c r="A101" t="str">
        <f t="shared" si="1"/>
        <v>2007AllSexMaori23</v>
      </c>
      <c r="B101">
        <v>2007</v>
      </c>
      <c r="C101" t="s">
        <v>14</v>
      </c>
      <c r="D101" t="s">
        <v>15</v>
      </c>
      <c r="E101">
        <v>23</v>
      </c>
      <c r="F101">
        <v>50</v>
      </c>
      <c r="G101">
        <v>29.570051451889501</v>
      </c>
      <c r="H101">
        <v>8.1999999999999993</v>
      </c>
      <c r="I101">
        <v>21.370051451889498</v>
      </c>
      <c r="J101">
        <v>37.770051451889501</v>
      </c>
    </row>
    <row r="102" spans="1:10" x14ac:dyDescent="0.2">
      <c r="A102" t="str">
        <f t="shared" si="1"/>
        <v>2007AllSexMaori24</v>
      </c>
      <c r="B102">
        <v>2007</v>
      </c>
      <c r="C102" t="s">
        <v>14</v>
      </c>
      <c r="D102" t="s">
        <v>15</v>
      </c>
      <c r="E102">
        <v>24</v>
      </c>
      <c r="F102">
        <v>12</v>
      </c>
      <c r="G102">
        <v>11.773940345368899</v>
      </c>
      <c r="H102">
        <v>6.7</v>
      </c>
      <c r="I102">
        <v>5.0739403453689196</v>
      </c>
      <c r="J102">
        <v>18.473940345368899</v>
      </c>
    </row>
    <row r="103" spans="1:10" x14ac:dyDescent="0.2">
      <c r="A103" t="str">
        <f t="shared" si="1"/>
        <v>2007AllSexMaori25</v>
      </c>
      <c r="B103">
        <v>2007</v>
      </c>
      <c r="C103" t="s">
        <v>14</v>
      </c>
      <c r="D103" t="s">
        <v>15</v>
      </c>
      <c r="E103">
        <v>25</v>
      </c>
      <c r="F103">
        <v>1</v>
      </c>
      <c r="G103">
        <v>3.7188545927854202</v>
      </c>
      <c r="H103">
        <v>7.3</v>
      </c>
      <c r="I103">
        <v>-3.5811454072145801</v>
      </c>
      <c r="J103">
        <v>11.0188545927854</v>
      </c>
    </row>
    <row r="104" spans="1:10" x14ac:dyDescent="0.2">
      <c r="A104" t="str">
        <f t="shared" si="1"/>
        <v>2007AllSexNon-Maori21</v>
      </c>
      <c r="B104">
        <v>2007</v>
      </c>
      <c r="C104" t="s">
        <v>14</v>
      </c>
      <c r="D104" t="s">
        <v>16</v>
      </c>
      <c r="E104">
        <v>21</v>
      </c>
      <c r="F104">
        <v>1</v>
      </c>
      <c r="G104">
        <v>0.148645836430122</v>
      </c>
      <c r="H104">
        <v>0.3</v>
      </c>
      <c r="I104">
        <v>-0.15135416356987799</v>
      </c>
      <c r="J104">
        <v>0.44864583643012201</v>
      </c>
    </row>
    <row r="105" spans="1:10" x14ac:dyDescent="0.2">
      <c r="A105" t="str">
        <f t="shared" si="1"/>
        <v>2007AllSexNon-Maori22</v>
      </c>
      <c r="B105">
        <v>2007</v>
      </c>
      <c r="C105" t="s">
        <v>14</v>
      </c>
      <c r="D105" t="s">
        <v>16</v>
      </c>
      <c r="E105">
        <v>22</v>
      </c>
      <c r="F105">
        <v>61</v>
      </c>
      <c r="G105">
        <v>12.488228309380499</v>
      </c>
      <c r="H105">
        <v>3.1</v>
      </c>
      <c r="I105">
        <v>9.3882283093804997</v>
      </c>
      <c r="J105">
        <v>15.588228309380501</v>
      </c>
    </row>
    <row r="106" spans="1:10" x14ac:dyDescent="0.2">
      <c r="A106" t="str">
        <f t="shared" si="1"/>
        <v>2007AllSexNon-Maori23</v>
      </c>
      <c r="B106">
        <v>2007</v>
      </c>
      <c r="C106" t="s">
        <v>14</v>
      </c>
      <c r="D106" t="s">
        <v>16</v>
      </c>
      <c r="E106">
        <v>23</v>
      </c>
      <c r="F106">
        <v>163</v>
      </c>
      <c r="G106">
        <v>16.1504468620574</v>
      </c>
      <c r="H106">
        <v>2.5</v>
      </c>
      <c r="I106">
        <v>13.6504468620574</v>
      </c>
      <c r="J106">
        <v>18.6504468620574</v>
      </c>
    </row>
    <row r="107" spans="1:10" x14ac:dyDescent="0.2">
      <c r="A107" t="str">
        <f t="shared" si="1"/>
        <v>2007AllSexNon-Maori24</v>
      </c>
      <c r="B107">
        <v>2007</v>
      </c>
      <c r="C107" t="s">
        <v>14</v>
      </c>
      <c r="D107" t="s">
        <v>16</v>
      </c>
      <c r="E107">
        <v>24</v>
      </c>
      <c r="F107">
        <v>130</v>
      </c>
      <c r="G107">
        <v>14.0802356814834</v>
      </c>
      <c r="H107">
        <v>2.4</v>
      </c>
      <c r="I107">
        <v>11.680235681483399</v>
      </c>
      <c r="J107">
        <v>16.4802356814834</v>
      </c>
    </row>
    <row r="108" spans="1:10" x14ac:dyDescent="0.2">
      <c r="A108" t="str">
        <f t="shared" si="1"/>
        <v>2007AllSexNon-Maori25</v>
      </c>
      <c r="B108">
        <v>2007</v>
      </c>
      <c r="C108" t="s">
        <v>14</v>
      </c>
      <c r="D108" t="s">
        <v>16</v>
      </c>
      <c r="E108">
        <v>25</v>
      </c>
      <c r="F108">
        <v>49</v>
      </c>
      <c r="G108">
        <v>9.8389622906710592</v>
      </c>
      <c r="H108">
        <v>2.8</v>
      </c>
      <c r="I108">
        <v>7.0389622906710603</v>
      </c>
      <c r="J108">
        <v>12.638962290671101</v>
      </c>
    </row>
    <row r="109" spans="1:10" x14ac:dyDescent="0.2">
      <c r="A109" t="str">
        <f t="shared" si="1"/>
        <v>2007FemaleAllEth21</v>
      </c>
      <c r="B109">
        <v>2007</v>
      </c>
      <c r="C109" t="s">
        <v>5</v>
      </c>
      <c r="D109" t="s">
        <v>24</v>
      </c>
      <c r="E109">
        <v>21</v>
      </c>
      <c r="F109">
        <v>1</v>
      </c>
      <c r="G109">
        <v>0.229964355524894</v>
      </c>
      <c r="H109">
        <v>0.5</v>
      </c>
      <c r="I109">
        <v>-0.27003564447510597</v>
      </c>
      <c r="J109">
        <v>0.72996435552489403</v>
      </c>
    </row>
    <row r="110" spans="1:10" x14ac:dyDescent="0.2">
      <c r="A110" t="str">
        <f t="shared" si="1"/>
        <v>2007FemaleAllEth22</v>
      </c>
      <c r="B110">
        <v>2007</v>
      </c>
      <c r="C110" t="s">
        <v>5</v>
      </c>
      <c r="D110" t="s">
        <v>24</v>
      </c>
      <c r="E110">
        <v>22</v>
      </c>
      <c r="F110">
        <v>23</v>
      </c>
      <c r="G110">
        <v>7.64119601328904</v>
      </c>
      <c r="H110">
        <v>3.1</v>
      </c>
      <c r="I110">
        <v>4.5411960132890297</v>
      </c>
      <c r="J110">
        <v>10.741196013289001</v>
      </c>
    </row>
    <row r="111" spans="1:10" x14ac:dyDescent="0.2">
      <c r="A111" t="str">
        <f t="shared" si="1"/>
        <v>2007FemaleAllEth23</v>
      </c>
      <c r="B111">
        <v>2007</v>
      </c>
      <c r="C111" t="s">
        <v>5</v>
      </c>
      <c r="D111" t="s">
        <v>24</v>
      </c>
      <c r="E111">
        <v>23</v>
      </c>
      <c r="F111">
        <v>48</v>
      </c>
      <c r="G111">
        <v>7.8448036347590202</v>
      </c>
      <c r="H111">
        <v>2.2000000000000002</v>
      </c>
      <c r="I111">
        <v>5.64480363475902</v>
      </c>
      <c r="J111">
        <v>10.044803634759001</v>
      </c>
    </row>
    <row r="112" spans="1:10" x14ac:dyDescent="0.2">
      <c r="A112" t="str">
        <f t="shared" si="1"/>
        <v>2007FemaleAllEth24</v>
      </c>
      <c r="B112">
        <v>2007</v>
      </c>
      <c r="C112" t="s">
        <v>5</v>
      </c>
      <c r="D112" t="s">
        <v>24</v>
      </c>
      <c r="E112">
        <v>24</v>
      </c>
      <c r="F112">
        <v>40</v>
      </c>
      <c r="G112">
        <v>7.6637161359543198</v>
      </c>
      <c r="H112">
        <v>2.4</v>
      </c>
      <c r="I112">
        <v>5.2637161359543203</v>
      </c>
      <c r="J112">
        <v>10.0637161359543</v>
      </c>
    </row>
    <row r="113" spans="1:10" x14ac:dyDescent="0.2">
      <c r="A113" t="str">
        <f t="shared" si="1"/>
        <v>2007FemaleAllEth25</v>
      </c>
      <c r="B113">
        <v>2007</v>
      </c>
      <c r="C113" t="s">
        <v>5</v>
      </c>
      <c r="D113" t="s">
        <v>24</v>
      </c>
      <c r="E113">
        <v>25</v>
      </c>
      <c r="F113">
        <v>8</v>
      </c>
      <c r="G113">
        <v>2.7696036004846798</v>
      </c>
      <c r="H113">
        <v>1.9</v>
      </c>
      <c r="I113">
        <v>0.86960360048468099</v>
      </c>
      <c r="J113">
        <v>4.6696036004846802</v>
      </c>
    </row>
    <row r="114" spans="1:10" x14ac:dyDescent="0.2">
      <c r="A114" t="str">
        <f t="shared" si="1"/>
        <v>2007FemaleMaori21</v>
      </c>
      <c r="B114">
        <v>2007</v>
      </c>
      <c r="C114" t="s">
        <v>5</v>
      </c>
      <c r="D114" t="s">
        <v>15</v>
      </c>
      <c r="E114">
        <v>21</v>
      </c>
      <c r="F114">
        <v>1</v>
      </c>
      <c r="G114">
        <v>0.93967299379815805</v>
      </c>
      <c r="H114">
        <v>1.8</v>
      </c>
      <c r="I114">
        <v>-0.86032700620184199</v>
      </c>
      <c r="J114">
        <v>2.7396729937981599</v>
      </c>
    </row>
    <row r="115" spans="1:10" x14ac:dyDescent="0.2">
      <c r="A115" t="str">
        <f t="shared" si="1"/>
        <v>2007FemaleMaori22</v>
      </c>
      <c r="B115">
        <v>2007</v>
      </c>
      <c r="C115" t="s">
        <v>5</v>
      </c>
      <c r="D115" t="s">
        <v>15</v>
      </c>
      <c r="E115">
        <v>22</v>
      </c>
      <c r="F115">
        <v>10</v>
      </c>
      <c r="G115">
        <v>16.686133822793298</v>
      </c>
      <c r="H115">
        <v>10.3</v>
      </c>
      <c r="I115">
        <v>6.3861338227932603</v>
      </c>
      <c r="J115">
        <v>26.986133822793299</v>
      </c>
    </row>
    <row r="116" spans="1:10" x14ac:dyDescent="0.2">
      <c r="A116" t="str">
        <f t="shared" si="1"/>
        <v>2007FemaleMaori23</v>
      </c>
      <c r="B116">
        <v>2007</v>
      </c>
      <c r="C116" t="s">
        <v>5</v>
      </c>
      <c r="D116" t="s">
        <v>15</v>
      </c>
      <c r="E116">
        <v>23</v>
      </c>
      <c r="F116">
        <v>11</v>
      </c>
      <c r="G116">
        <v>12.280897621971601</v>
      </c>
      <c r="H116">
        <v>7.3</v>
      </c>
      <c r="I116">
        <v>4.9808976219716401</v>
      </c>
      <c r="J116">
        <v>19.580897621971602</v>
      </c>
    </row>
    <row r="117" spans="1:10" x14ac:dyDescent="0.2">
      <c r="A117" t="str">
        <f t="shared" si="1"/>
        <v>2007FemaleMaori24</v>
      </c>
      <c r="B117">
        <v>2007</v>
      </c>
      <c r="C117" t="s">
        <v>5</v>
      </c>
      <c r="D117" t="s">
        <v>15</v>
      </c>
      <c r="E117">
        <v>24</v>
      </c>
      <c r="F117">
        <v>1</v>
      </c>
      <c r="G117">
        <v>1.87195806813927</v>
      </c>
      <c r="H117">
        <v>3.7</v>
      </c>
      <c r="I117">
        <v>-1.8280419318607299</v>
      </c>
      <c r="J117">
        <v>5.5719580681392697</v>
      </c>
    </row>
    <row r="118" spans="1:10" x14ac:dyDescent="0.2">
      <c r="A118" t="str">
        <f t="shared" si="1"/>
        <v>2007FemaleMaori25</v>
      </c>
      <c r="B118">
        <v>2007</v>
      </c>
      <c r="C118" t="s">
        <v>5</v>
      </c>
      <c r="D118" t="s">
        <v>15</v>
      </c>
      <c r="E118">
        <v>25</v>
      </c>
      <c r="F118">
        <v>0</v>
      </c>
      <c r="G118">
        <v>0</v>
      </c>
    </row>
    <row r="119" spans="1:10" x14ac:dyDescent="0.2">
      <c r="A119" t="str">
        <f t="shared" si="1"/>
        <v>2007FemaleNon-Maori21</v>
      </c>
      <c r="B119">
        <v>2007</v>
      </c>
      <c r="C119" t="s">
        <v>5</v>
      </c>
      <c r="D119" t="s">
        <v>16</v>
      </c>
      <c r="E119">
        <v>21</v>
      </c>
      <c r="F119">
        <v>0</v>
      </c>
      <c r="G119">
        <v>0</v>
      </c>
    </row>
    <row r="120" spans="1:10" x14ac:dyDescent="0.2">
      <c r="A120" t="str">
        <f t="shared" si="1"/>
        <v>2007FemaleNon-Maori22</v>
      </c>
      <c r="B120">
        <v>2007</v>
      </c>
      <c r="C120" t="s">
        <v>5</v>
      </c>
      <c r="D120" t="s">
        <v>16</v>
      </c>
      <c r="E120">
        <v>22</v>
      </c>
      <c r="F120">
        <v>13</v>
      </c>
      <c r="G120">
        <v>5.3926245488862197</v>
      </c>
      <c r="H120">
        <v>2.9</v>
      </c>
      <c r="I120">
        <v>2.4926245488862202</v>
      </c>
      <c r="J120">
        <v>8.2926245488862094</v>
      </c>
    </row>
    <row r="121" spans="1:10" x14ac:dyDescent="0.2">
      <c r="A121" t="str">
        <f t="shared" si="1"/>
        <v>2007FemaleNon-Maori23</v>
      </c>
      <c r="B121">
        <v>2007</v>
      </c>
      <c r="C121" t="s">
        <v>5</v>
      </c>
      <c r="D121" t="s">
        <v>16</v>
      </c>
      <c r="E121">
        <v>23</v>
      </c>
      <c r="F121">
        <v>37</v>
      </c>
      <c r="G121">
        <v>7.0840513115067996</v>
      </c>
      <c r="H121">
        <v>2.2999999999999998</v>
      </c>
      <c r="I121">
        <v>4.7840513115067997</v>
      </c>
      <c r="J121">
        <v>9.3840513115068003</v>
      </c>
    </row>
    <row r="122" spans="1:10" x14ac:dyDescent="0.2">
      <c r="A122" t="str">
        <f t="shared" si="1"/>
        <v>2007FemaleNon-Maori24</v>
      </c>
      <c r="B122">
        <v>2007</v>
      </c>
      <c r="C122" t="s">
        <v>5</v>
      </c>
      <c r="D122" t="s">
        <v>16</v>
      </c>
      <c r="E122">
        <v>24</v>
      </c>
      <c r="F122">
        <v>39</v>
      </c>
      <c r="G122">
        <v>8.3240843507214208</v>
      </c>
      <c r="H122">
        <v>2.6</v>
      </c>
      <c r="I122">
        <v>5.7240843507214203</v>
      </c>
      <c r="J122">
        <v>10.924084350721399</v>
      </c>
    </row>
    <row r="123" spans="1:10" x14ac:dyDescent="0.2">
      <c r="A123" t="str">
        <f t="shared" si="1"/>
        <v>2007FemaleNon-Maori25</v>
      </c>
      <c r="B123">
        <v>2007</v>
      </c>
      <c r="C123" t="s">
        <v>5</v>
      </c>
      <c r="D123" t="s">
        <v>16</v>
      </c>
      <c r="E123">
        <v>25</v>
      </c>
      <c r="F123">
        <v>8</v>
      </c>
      <c r="G123">
        <v>2.91779123203735</v>
      </c>
      <c r="H123">
        <v>2</v>
      </c>
      <c r="I123">
        <v>0.91779123203734803</v>
      </c>
      <c r="J123">
        <v>4.9177912320373496</v>
      </c>
    </row>
    <row r="124" spans="1:10" x14ac:dyDescent="0.2">
      <c r="A124" t="str">
        <f t="shared" si="1"/>
        <v>2007MaleAllEth21</v>
      </c>
      <c r="B124">
        <v>2007</v>
      </c>
      <c r="C124" t="s">
        <v>17</v>
      </c>
      <c r="D124" t="s">
        <v>24</v>
      </c>
      <c r="E124">
        <v>21</v>
      </c>
      <c r="F124">
        <v>1</v>
      </c>
      <c r="G124">
        <v>0.219106047326906</v>
      </c>
      <c r="H124">
        <v>0.4</v>
      </c>
      <c r="I124">
        <v>-0.18089395267309399</v>
      </c>
      <c r="J124">
        <v>0.61910604732690599</v>
      </c>
    </row>
    <row r="125" spans="1:10" x14ac:dyDescent="0.2">
      <c r="A125" t="str">
        <f t="shared" si="1"/>
        <v>2007MaleAllEth22</v>
      </c>
      <c r="B125">
        <v>2007</v>
      </c>
      <c r="C125" t="s">
        <v>17</v>
      </c>
      <c r="D125" t="s">
        <v>24</v>
      </c>
      <c r="E125">
        <v>22</v>
      </c>
      <c r="F125">
        <v>71</v>
      </c>
      <c r="G125">
        <v>23.2421107764829</v>
      </c>
      <c r="H125">
        <v>5.4</v>
      </c>
      <c r="I125">
        <v>17.842110776482901</v>
      </c>
      <c r="J125">
        <v>28.642110776482902</v>
      </c>
    </row>
    <row r="126" spans="1:10" x14ac:dyDescent="0.2">
      <c r="A126" t="str">
        <f t="shared" si="1"/>
        <v>2007MaleAllEth23</v>
      </c>
      <c r="B126">
        <v>2007</v>
      </c>
      <c r="C126" t="s">
        <v>17</v>
      </c>
      <c r="D126" t="s">
        <v>24</v>
      </c>
      <c r="E126">
        <v>23</v>
      </c>
      <c r="F126">
        <v>165</v>
      </c>
      <c r="G126">
        <v>29.127756103588901</v>
      </c>
      <c r="H126">
        <v>4.4000000000000004</v>
      </c>
      <c r="I126">
        <v>24.727756103588899</v>
      </c>
      <c r="J126">
        <v>33.527756103588899</v>
      </c>
    </row>
    <row r="127" spans="1:10" x14ac:dyDescent="0.2">
      <c r="A127" t="str">
        <f t="shared" si="1"/>
        <v>2007MaleAllEth24</v>
      </c>
      <c r="B127">
        <v>2007</v>
      </c>
      <c r="C127" t="s">
        <v>17</v>
      </c>
      <c r="D127" t="s">
        <v>24</v>
      </c>
      <c r="E127">
        <v>24</v>
      </c>
      <c r="F127">
        <v>102</v>
      </c>
      <c r="G127">
        <v>20.267853594563402</v>
      </c>
      <c r="H127">
        <v>3.9</v>
      </c>
      <c r="I127">
        <v>16.3678535945634</v>
      </c>
      <c r="J127">
        <v>24.1678535945634</v>
      </c>
    </row>
    <row r="128" spans="1:10" x14ac:dyDescent="0.2">
      <c r="A128" t="str">
        <f t="shared" si="1"/>
        <v>2007MaleAllEth25</v>
      </c>
      <c r="B128">
        <v>2007</v>
      </c>
      <c r="C128" t="s">
        <v>17</v>
      </c>
      <c r="D128" t="s">
        <v>24</v>
      </c>
      <c r="E128">
        <v>25</v>
      </c>
      <c r="F128">
        <v>42</v>
      </c>
      <c r="G128">
        <v>17.793594306049801</v>
      </c>
      <c r="H128">
        <v>5.4</v>
      </c>
      <c r="I128">
        <v>12.393594306049801</v>
      </c>
      <c r="J128">
        <v>23.1935943060498</v>
      </c>
    </row>
    <row r="129" spans="1:10" x14ac:dyDescent="0.2">
      <c r="A129" t="str">
        <f t="shared" si="1"/>
        <v>2007MaleMaori21</v>
      </c>
      <c r="B129">
        <v>2007</v>
      </c>
      <c r="C129" t="s">
        <v>17</v>
      </c>
      <c r="D129" t="s">
        <v>15</v>
      </c>
      <c r="E129">
        <v>21</v>
      </c>
      <c r="F129">
        <v>0</v>
      </c>
      <c r="G129">
        <v>0</v>
      </c>
    </row>
    <row r="130" spans="1:10" x14ac:dyDescent="0.2">
      <c r="A130" t="str">
        <f t="shared" si="1"/>
        <v>2007MaleMaori22</v>
      </c>
      <c r="B130">
        <v>2007</v>
      </c>
      <c r="C130" t="s">
        <v>17</v>
      </c>
      <c r="D130" t="s">
        <v>15</v>
      </c>
      <c r="E130">
        <v>22</v>
      </c>
      <c r="F130">
        <v>23</v>
      </c>
      <c r="G130">
        <v>39.593733861249802</v>
      </c>
      <c r="H130">
        <v>16.2</v>
      </c>
      <c r="I130">
        <v>23.3937338612498</v>
      </c>
      <c r="J130">
        <v>55.793733861249798</v>
      </c>
    </row>
    <row r="131" spans="1:10" x14ac:dyDescent="0.2">
      <c r="A131" t="str">
        <f t="shared" si="1"/>
        <v>2007MaleMaori23</v>
      </c>
      <c r="B131">
        <v>2007</v>
      </c>
      <c r="C131" t="s">
        <v>17</v>
      </c>
      <c r="D131" t="s">
        <v>15</v>
      </c>
      <c r="E131">
        <v>23</v>
      </c>
      <c r="F131">
        <v>39</v>
      </c>
      <c r="G131">
        <v>49.044265593561398</v>
      </c>
      <c r="H131">
        <v>15.4</v>
      </c>
      <c r="I131">
        <v>33.6442655935614</v>
      </c>
      <c r="J131">
        <v>64.444265593561397</v>
      </c>
    </row>
    <row r="132" spans="1:10" x14ac:dyDescent="0.2">
      <c r="A132" t="str">
        <f t="shared" ref="A132:A195" si="2">B132&amp;C132&amp;D132&amp;E132</f>
        <v>2007MaleMaori24</v>
      </c>
      <c r="B132">
        <v>2007</v>
      </c>
      <c r="C132" t="s">
        <v>17</v>
      </c>
      <c r="D132" t="s">
        <v>15</v>
      </c>
      <c r="E132">
        <v>24</v>
      </c>
      <c r="F132">
        <v>11</v>
      </c>
      <c r="G132">
        <v>22.680412371134</v>
      </c>
      <c r="H132">
        <v>13.4</v>
      </c>
      <c r="I132">
        <v>9.2804123711340196</v>
      </c>
      <c r="J132">
        <v>36.080412371134003</v>
      </c>
    </row>
    <row r="133" spans="1:10" x14ac:dyDescent="0.2">
      <c r="A133" t="str">
        <f t="shared" si="2"/>
        <v>2007MaleMaori25</v>
      </c>
      <c r="B133">
        <v>2007</v>
      </c>
      <c r="C133" t="s">
        <v>17</v>
      </c>
      <c r="D133" t="s">
        <v>15</v>
      </c>
      <c r="E133">
        <v>25</v>
      </c>
      <c r="F133">
        <v>1</v>
      </c>
      <c r="G133">
        <v>8.1967213114754092</v>
      </c>
      <c r="H133">
        <v>16.100000000000001</v>
      </c>
      <c r="I133">
        <v>-7.9032786885245896</v>
      </c>
      <c r="J133">
        <v>24.296721311475402</v>
      </c>
    </row>
    <row r="134" spans="1:10" x14ac:dyDescent="0.2">
      <c r="A134" t="str">
        <f t="shared" si="2"/>
        <v>2007MaleNon-Maori21</v>
      </c>
      <c r="B134">
        <v>2007</v>
      </c>
      <c r="C134" t="s">
        <v>17</v>
      </c>
      <c r="D134" t="s">
        <v>16</v>
      </c>
      <c r="E134">
        <v>21</v>
      </c>
      <c r="F134">
        <v>1</v>
      </c>
      <c r="G134">
        <v>0.290435944352473</v>
      </c>
      <c r="H134">
        <v>0.6</v>
      </c>
      <c r="I134">
        <v>-0.30956405564752698</v>
      </c>
      <c r="J134">
        <v>0.89043594435247297</v>
      </c>
    </row>
    <row r="135" spans="1:10" x14ac:dyDescent="0.2">
      <c r="A135" t="str">
        <f t="shared" si="2"/>
        <v>2007MaleNon-Maori22</v>
      </c>
      <c r="B135">
        <v>2007</v>
      </c>
      <c r="C135" t="s">
        <v>17</v>
      </c>
      <c r="D135" t="s">
        <v>16</v>
      </c>
      <c r="E135">
        <v>22</v>
      </c>
      <c r="F135">
        <v>48</v>
      </c>
      <c r="G135">
        <v>19.402562755163899</v>
      </c>
      <c r="H135">
        <v>5.5</v>
      </c>
      <c r="I135">
        <v>13.902562755163901</v>
      </c>
      <c r="J135">
        <v>24.902562755163899</v>
      </c>
    </row>
    <row r="136" spans="1:10" x14ac:dyDescent="0.2">
      <c r="A136" t="str">
        <f t="shared" si="2"/>
        <v>2007MaleNon-Maori23</v>
      </c>
      <c r="B136">
        <v>2007</v>
      </c>
      <c r="C136" t="s">
        <v>17</v>
      </c>
      <c r="D136" t="s">
        <v>16</v>
      </c>
      <c r="E136">
        <v>23</v>
      </c>
      <c r="F136">
        <v>126</v>
      </c>
      <c r="G136">
        <v>25.875346544819799</v>
      </c>
      <c r="H136">
        <v>4.5</v>
      </c>
      <c r="I136">
        <v>21.375346544819799</v>
      </c>
      <c r="J136">
        <v>30.375346544819799</v>
      </c>
    </row>
    <row r="137" spans="1:10" x14ac:dyDescent="0.2">
      <c r="A137" t="str">
        <f t="shared" si="2"/>
        <v>2007MaleNon-Maori24</v>
      </c>
      <c r="B137">
        <v>2007</v>
      </c>
      <c r="C137" t="s">
        <v>17</v>
      </c>
      <c r="D137" t="s">
        <v>16</v>
      </c>
      <c r="E137">
        <v>24</v>
      </c>
      <c r="F137">
        <v>91</v>
      </c>
      <c r="G137">
        <v>20.0105550180315</v>
      </c>
      <c r="H137">
        <v>4.0999999999999996</v>
      </c>
      <c r="I137">
        <v>15.9105550180315</v>
      </c>
      <c r="J137">
        <v>24.110555018031501</v>
      </c>
    </row>
    <row r="138" spans="1:10" x14ac:dyDescent="0.2">
      <c r="A138" t="str">
        <f t="shared" si="2"/>
        <v>2007MaleNon-Maori25</v>
      </c>
      <c r="B138">
        <v>2007</v>
      </c>
      <c r="C138" t="s">
        <v>17</v>
      </c>
      <c r="D138" t="s">
        <v>16</v>
      </c>
      <c r="E138">
        <v>25</v>
      </c>
      <c r="F138">
        <v>41</v>
      </c>
      <c r="G138">
        <v>18.316654753395301</v>
      </c>
      <c r="H138">
        <v>5.6</v>
      </c>
      <c r="I138">
        <v>12.7166547533953</v>
      </c>
      <c r="J138">
        <v>23.916654753395299</v>
      </c>
    </row>
    <row r="139" spans="1:10" x14ac:dyDescent="0.2">
      <c r="A139" t="str">
        <f t="shared" si="2"/>
        <v>2008AllSexAllEth21</v>
      </c>
      <c r="B139">
        <v>2008</v>
      </c>
      <c r="C139" t="s">
        <v>14</v>
      </c>
      <c r="D139" t="s">
        <v>24</v>
      </c>
      <c r="E139">
        <v>21</v>
      </c>
      <c r="F139">
        <v>5</v>
      </c>
      <c r="G139">
        <v>0.55830988431819195</v>
      </c>
      <c r="H139">
        <v>0.5</v>
      </c>
      <c r="I139">
        <v>5.8309884318192E-2</v>
      </c>
      <c r="J139">
        <v>1.05830988431819</v>
      </c>
    </row>
    <row r="140" spans="1:10" x14ac:dyDescent="0.2">
      <c r="A140" t="str">
        <f t="shared" si="2"/>
        <v>2008AllSexAllEth22</v>
      </c>
      <c r="B140">
        <v>2008</v>
      </c>
      <c r="C140" t="s">
        <v>14</v>
      </c>
      <c r="D140" t="s">
        <v>24</v>
      </c>
      <c r="E140">
        <v>22</v>
      </c>
      <c r="F140">
        <v>121</v>
      </c>
      <c r="G140">
        <v>19.949549074242</v>
      </c>
      <c r="H140">
        <v>3.6</v>
      </c>
      <c r="I140">
        <v>16.349549074241999</v>
      </c>
      <c r="J140">
        <v>23.549549074242002</v>
      </c>
    </row>
    <row r="141" spans="1:10" x14ac:dyDescent="0.2">
      <c r="A141" t="str">
        <f t="shared" si="2"/>
        <v>2008AllSexAllEth23</v>
      </c>
      <c r="B141">
        <v>2008</v>
      </c>
      <c r="C141" t="s">
        <v>14</v>
      </c>
      <c r="D141" t="s">
        <v>24</v>
      </c>
      <c r="E141">
        <v>23</v>
      </c>
      <c r="F141">
        <v>182</v>
      </c>
      <c r="G141">
        <v>15.5447937752496</v>
      </c>
      <c r="H141">
        <v>2.2999999999999998</v>
      </c>
      <c r="I141">
        <v>13.244793775249599</v>
      </c>
      <c r="J141">
        <v>17.844793775249599</v>
      </c>
    </row>
    <row r="142" spans="1:10" x14ac:dyDescent="0.2">
      <c r="A142" t="str">
        <f t="shared" si="2"/>
        <v>2008AllSexAllEth24</v>
      </c>
      <c r="B142">
        <v>2008</v>
      </c>
      <c r="C142" t="s">
        <v>14</v>
      </c>
      <c r="D142" t="s">
        <v>24</v>
      </c>
      <c r="E142">
        <v>24</v>
      </c>
      <c r="F142">
        <v>159</v>
      </c>
      <c r="G142">
        <v>15.090829710901501</v>
      </c>
      <c r="H142">
        <v>2.2999999999999998</v>
      </c>
      <c r="I142">
        <v>12.7908297109015</v>
      </c>
      <c r="J142">
        <v>17.3908297109015</v>
      </c>
    </row>
    <row r="143" spans="1:10" x14ac:dyDescent="0.2">
      <c r="A143" t="str">
        <f t="shared" si="2"/>
        <v>2008AllSexAllEth25</v>
      </c>
      <c r="B143">
        <v>2008</v>
      </c>
      <c r="C143" t="s">
        <v>14</v>
      </c>
      <c r="D143" t="s">
        <v>24</v>
      </c>
      <c r="E143">
        <v>25</v>
      </c>
      <c r="F143">
        <v>51</v>
      </c>
      <c r="G143">
        <v>9.5243431004538106</v>
      </c>
      <c r="H143">
        <v>2.6</v>
      </c>
      <c r="I143">
        <v>6.9243431004538101</v>
      </c>
      <c r="J143">
        <v>12.1243431004538</v>
      </c>
    </row>
    <row r="144" spans="1:10" x14ac:dyDescent="0.2">
      <c r="A144" t="str">
        <f t="shared" si="2"/>
        <v>2008AllSexMaori21</v>
      </c>
      <c r="B144">
        <v>2008</v>
      </c>
      <c r="C144" t="s">
        <v>14</v>
      </c>
      <c r="D144" t="s">
        <v>15</v>
      </c>
      <c r="E144">
        <v>21</v>
      </c>
      <c r="F144">
        <v>4</v>
      </c>
      <c r="G144">
        <v>1.7992892807341101</v>
      </c>
      <c r="H144">
        <v>1.8</v>
      </c>
      <c r="I144">
        <v>-7.1071926588994695E-4</v>
      </c>
      <c r="J144">
        <v>3.5992892807341099</v>
      </c>
    </row>
    <row r="145" spans="1:10" x14ac:dyDescent="0.2">
      <c r="A145" t="str">
        <f t="shared" si="2"/>
        <v>2008AllSexMaori22</v>
      </c>
      <c r="B145">
        <v>2008</v>
      </c>
      <c r="C145" t="s">
        <v>14</v>
      </c>
      <c r="D145" t="s">
        <v>15</v>
      </c>
      <c r="E145">
        <v>22</v>
      </c>
      <c r="F145">
        <v>35</v>
      </c>
      <c r="G145">
        <v>29.247096181164899</v>
      </c>
      <c r="H145">
        <v>9.6999999999999993</v>
      </c>
      <c r="I145">
        <v>19.5470961811649</v>
      </c>
      <c r="J145">
        <v>38.947096181164902</v>
      </c>
    </row>
    <row r="146" spans="1:10" x14ac:dyDescent="0.2">
      <c r="A146" t="str">
        <f t="shared" si="2"/>
        <v>2008AllSexMaori23</v>
      </c>
      <c r="B146">
        <v>2008</v>
      </c>
      <c r="C146" t="s">
        <v>14</v>
      </c>
      <c r="D146" t="s">
        <v>15</v>
      </c>
      <c r="E146">
        <v>23</v>
      </c>
      <c r="F146">
        <v>37</v>
      </c>
      <c r="G146">
        <v>22.0277430493541</v>
      </c>
      <c r="H146">
        <v>7.1</v>
      </c>
      <c r="I146">
        <v>14.927743049354101</v>
      </c>
      <c r="J146">
        <v>29.127743049354098</v>
      </c>
    </row>
    <row r="147" spans="1:10" x14ac:dyDescent="0.2">
      <c r="A147" t="str">
        <f t="shared" si="2"/>
        <v>2008AllSexMaori24</v>
      </c>
      <c r="B147">
        <v>2008</v>
      </c>
      <c r="C147" t="s">
        <v>14</v>
      </c>
      <c r="D147" t="s">
        <v>15</v>
      </c>
      <c r="E147">
        <v>24</v>
      </c>
      <c r="F147">
        <v>10</v>
      </c>
      <c r="G147">
        <v>9.3624192491339802</v>
      </c>
      <c r="H147">
        <v>5.8</v>
      </c>
      <c r="I147">
        <v>3.5624192491339799</v>
      </c>
      <c r="J147">
        <v>15.162419249134</v>
      </c>
    </row>
    <row r="148" spans="1:10" x14ac:dyDescent="0.2">
      <c r="A148" t="str">
        <f t="shared" si="2"/>
        <v>2008AllSexMaori25</v>
      </c>
      <c r="B148">
        <v>2008</v>
      </c>
      <c r="C148" t="s">
        <v>14</v>
      </c>
      <c r="D148" t="s">
        <v>15</v>
      </c>
      <c r="E148">
        <v>25</v>
      </c>
      <c r="F148">
        <v>1</v>
      </c>
      <c r="G148">
        <v>3.5599857600569602</v>
      </c>
      <c r="H148">
        <v>7</v>
      </c>
      <c r="I148">
        <v>-3.4400142399430398</v>
      </c>
      <c r="J148">
        <v>10.559985760057</v>
      </c>
    </row>
    <row r="149" spans="1:10" x14ac:dyDescent="0.2">
      <c r="A149" t="str">
        <f t="shared" si="2"/>
        <v>2008AllSexNon-Maori21</v>
      </c>
      <c r="B149">
        <v>2008</v>
      </c>
      <c r="C149" t="s">
        <v>14</v>
      </c>
      <c r="D149" t="s">
        <v>16</v>
      </c>
      <c r="E149">
        <v>21</v>
      </c>
      <c r="F149">
        <v>1</v>
      </c>
      <c r="G149">
        <v>0.14853323431117699</v>
      </c>
      <c r="H149">
        <v>0.3</v>
      </c>
      <c r="I149">
        <v>-0.151466765688823</v>
      </c>
      <c r="J149">
        <v>0.44853323431117698</v>
      </c>
    </row>
    <row r="150" spans="1:10" x14ac:dyDescent="0.2">
      <c r="A150" t="str">
        <f t="shared" si="2"/>
        <v>2008AllSexNon-Maori22</v>
      </c>
      <c r="B150">
        <v>2008</v>
      </c>
      <c r="C150" t="s">
        <v>14</v>
      </c>
      <c r="D150" t="s">
        <v>16</v>
      </c>
      <c r="E150">
        <v>22</v>
      </c>
      <c r="F150">
        <v>86</v>
      </c>
      <c r="G150">
        <v>17.6642155855893</v>
      </c>
      <c r="H150">
        <v>3.7</v>
      </c>
      <c r="I150">
        <v>13.964215585589301</v>
      </c>
      <c r="J150">
        <v>21.364215585589299</v>
      </c>
    </row>
    <row r="151" spans="1:10" x14ac:dyDescent="0.2">
      <c r="A151" t="str">
        <f t="shared" si="2"/>
        <v>2008AllSexNon-Maori23</v>
      </c>
      <c r="B151">
        <v>2008</v>
      </c>
      <c r="C151" t="s">
        <v>14</v>
      </c>
      <c r="D151" t="s">
        <v>16</v>
      </c>
      <c r="E151">
        <v>23</v>
      </c>
      <c r="F151">
        <v>145</v>
      </c>
      <c r="G151">
        <v>14.4589366199992</v>
      </c>
      <c r="H151">
        <v>2.4</v>
      </c>
      <c r="I151">
        <v>12.0589366199992</v>
      </c>
      <c r="J151">
        <v>16.858936619999199</v>
      </c>
    </row>
    <row r="152" spans="1:10" x14ac:dyDescent="0.2">
      <c r="A152" t="str">
        <f t="shared" si="2"/>
        <v>2008AllSexNon-Maori24</v>
      </c>
      <c r="B152">
        <v>2008</v>
      </c>
      <c r="C152" t="s">
        <v>14</v>
      </c>
      <c r="D152" t="s">
        <v>16</v>
      </c>
      <c r="E152">
        <v>24</v>
      </c>
      <c r="F152">
        <v>149</v>
      </c>
      <c r="G152">
        <v>15.737053896769201</v>
      </c>
      <c r="H152">
        <v>2.5</v>
      </c>
      <c r="I152">
        <v>13.237053896769201</v>
      </c>
      <c r="J152">
        <v>18.237053896769201</v>
      </c>
    </row>
    <row r="153" spans="1:10" x14ac:dyDescent="0.2">
      <c r="A153" t="str">
        <f t="shared" si="2"/>
        <v>2008AllSexNon-Maori25</v>
      </c>
      <c r="B153">
        <v>2008</v>
      </c>
      <c r="C153" t="s">
        <v>14</v>
      </c>
      <c r="D153" t="s">
        <v>16</v>
      </c>
      <c r="E153">
        <v>25</v>
      </c>
      <c r="F153">
        <v>50</v>
      </c>
      <c r="G153">
        <v>9.8545468879340898</v>
      </c>
      <c r="H153">
        <v>2.7</v>
      </c>
      <c r="I153">
        <v>7.1545468879340897</v>
      </c>
      <c r="J153">
        <v>12.5545468879341</v>
      </c>
    </row>
    <row r="154" spans="1:10" x14ac:dyDescent="0.2">
      <c r="A154" t="str">
        <f t="shared" si="2"/>
        <v>2008FemaleAllEth21</v>
      </c>
      <c r="B154">
        <v>2008</v>
      </c>
      <c r="C154" t="s">
        <v>5</v>
      </c>
      <c r="D154" t="s">
        <v>24</v>
      </c>
      <c r="E154">
        <v>21</v>
      </c>
      <c r="F154">
        <v>3</v>
      </c>
      <c r="G154">
        <v>0.68687608755380503</v>
      </c>
      <c r="H154">
        <v>0.8</v>
      </c>
      <c r="I154">
        <v>-0.113123912446195</v>
      </c>
      <c r="J154">
        <v>1.4868760875538101</v>
      </c>
    </row>
    <row r="155" spans="1:10" x14ac:dyDescent="0.2">
      <c r="A155" t="str">
        <f t="shared" si="2"/>
        <v>2008FemaleAllEth22</v>
      </c>
      <c r="B155">
        <v>2008</v>
      </c>
      <c r="C155" t="s">
        <v>5</v>
      </c>
      <c r="D155" t="s">
        <v>24</v>
      </c>
      <c r="E155">
        <v>22</v>
      </c>
      <c r="F155">
        <v>38</v>
      </c>
      <c r="G155">
        <v>12.6132704882663</v>
      </c>
      <c r="H155">
        <v>4</v>
      </c>
      <c r="I155">
        <v>8.6132704882663393</v>
      </c>
      <c r="J155">
        <v>16.613270488266298</v>
      </c>
    </row>
    <row r="156" spans="1:10" x14ac:dyDescent="0.2">
      <c r="A156" t="str">
        <f t="shared" si="2"/>
        <v>2008FemaleAllEth23</v>
      </c>
      <c r="B156">
        <v>2008</v>
      </c>
      <c r="C156" t="s">
        <v>5</v>
      </c>
      <c r="D156" t="s">
        <v>24</v>
      </c>
      <c r="E156">
        <v>23</v>
      </c>
      <c r="F156">
        <v>49</v>
      </c>
      <c r="G156">
        <v>8.05722272465675</v>
      </c>
      <c r="H156">
        <v>2.2999999999999998</v>
      </c>
      <c r="I156">
        <v>5.7572227246567502</v>
      </c>
      <c r="J156">
        <v>10.357222724656699</v>
      </c>
    </row>
    <row r="157" spans="1:10" x14ac:dyDescent="0.2">
      <c r="A157" t="str">
        <f t="shared" si="2"/>
        <v>2008FemaleAllEth24</v>
      </c>
      <c r="B157">
        <v>2008</v>
      </c>
      <c r="C157" t="s">
        <v>5</v>
      </c>
      <c r="D157" t="s">
        <v>24</v>
      </c>
      <c r="E157">
        <v>24</v>
      </c>
      <c r="F157">
        <v>34</v>
      </c>
      <c r="G157">
        <v>6.3251106894370697</v>
      </c>
      <c r="H157">
        <v>2.1</v>
      </c>
      <c r="I157">
        <v>4.2251106894370603</v>
      </c>
      <c r="J157">
        <v>8.4251106894370693</v>
      </c>
    </row>
    <row r="158" spans="1:10" x14ac:dyDescent="0.2">
      <c r="A158" t="str">
        <f t="shared" si="2"/>
        <v>2008FemaleAllEth25</v>
      </c>
      <c r="B158">
        <v>2008</v>
      </c>
      <c r="C158" t="s">
        <v>5</v>
      </c>
      <c r="D158" t="s">
        <v>24</v>
      </c>
      <c r="E158">
        <v>25</v>
      </c>
      <c r="F158">
        <v>15</v>
      </c>
      <c r="G158">
        <v>5.1070784106772003</v>
      </c>
      <c r="H158">
        <v>2.6</v>
      </c>
      <c r="I158">
        <v>2.5070784106772002</v>
      </c>
      <c r="J158">
        <v>7.7070784106771999</v>
      </c>
    </row>
    <row r="159" spans="1:10" x14ac:dyDescent="0.2">
      <c r="A159" t="str">
        <f t="shared" si="2"/>
        <v>2008FemaleMaori21</v>
      </c>
      <c r="B159">
        <v>2008</v>
      </c>
      <c r="C159" t="s">
        <v>5</v>
      </c>
      <c r="D159" t="s">
        <v>15</v>
      </c>
      <c r="E159">
        <v>21</v>
      </c>
      <c r="F159">
        <v>2</v>
      </c>
      <c r="G159">
        <v>1.8491124260355001</v>
      </c>
      <c r="H159">
        <v>2.6</v>
      </c>
      <c r="I159">
        <v>-0.75088757396449701</v>
      </c>
      <c r="J159">
        <v>4.4491124260354997</v>
      </c>
    </row>
    <row r="160" spans="1:10" x14ac:dyDescent="0.2">
      <c r="A160" t="str">
        <f t="shared" si="2"/>
        <v>2008FemaleMaori22</v>
      </c>
      <c r="B160">
        <v>2008</v>
      </c>
      <c r="C160" t="s">
        <v>5</v>
      </c>
      <c r="D160" t="s">
        <v>15</v>
      </c>
      <c r="E160">
        <v>22</v>
      </c>
      <c r="F160">
        <v>18</v>
      </c>
      <c r="G160">
        <v>29.6247531270573</v>
      </c>
      <c r="H160">
        <v>13.7</v>
      </c>
      <c r="I160">
        <v>15.924753127057301</v>
      </c>
      <c r="J160">
        <v>43.324753127057299</v>
      </c>
    </row>
    <row r="161" spans="1:10" x14ac:dyDescent="0.2">
      <c r="A161" t="str">
        <f t="shared" si="2"/>
        <v>2008FemaleMaori23</v>
      </c>
      <c r="B161">
        <v>2008</v>
      </c>
      <c r="C161" t="s">
        <v>5</v>
      </c>
      <c r="D161" t="s">
        <v>15</v>
      </c>
      <c r="E161">
        <v>23</v>
      </c>
      <c r="F161">
        <v>9</v>
      </c>
      <c r="G161">
        <v>10.0964774512004</v>
      </c>
      <c r="H161">
        <v>6.6</v>
      </c>
      <c r="I161">
        <v>3.4964774512003598</v>
      </c>
      <c r="J161">
        <v>16.696477451200401</v>
      </c>
    </row>
    <row r="162" spans="1:10" x14ac:dyDescent="0.2">
      <c r="A162" t="str">
        <f t="shared" si="2"/>
        <v>2008FemaleMaori24</v>
      </c>
      <c r="B162">
        <v>2008</v>
      </c>
      <c r="C162" t="s">
        <v>5</v>
      </c>
      <c r="D162" t="s">
        <v>15</v>
      </c>
      <c r="E162">
        <v>24</v>
      </c>
      <c r="F162">
        <v>2</v>
      </c>
      <c r="G162">
        <v>3.5618878005342798</v>
      </c>
      <c r="H162">
        <v>4.9000000000000004</v>
      </c>
      <c r="I162">
        <v>-1.3381121994657199</v>
      </c>
      <c r="J162">
        <v>8.4618878005342797</v>
      </c>
    </row>
    <row r="163" spans="1:10" x14ac:dyDescent="0.2">
      <c r="A163" t="str">
        <f t="shared" si="2"/>
        <v>2008FemaleMaori25</v>
      </c>
      <c r="B163">
        <v>2008</v>
      </c>
      <c r="C163" t="s">
        <v>5</v>
      </c>
      <c r="D163" t="s">
        <v>15</v>
      </c>
      <c r="E163">
        <v>25</v>
      </c>
      <c r="F163">
        <v>0</v>
      </c>
      <c r="G163">
        <v>0</v>
      </c>
    </row>
    <row r="164" spans="1:10" x14ac:dyDescent="0.2">
      <c r="A164" t="str">
        <f t="shared" si="2"/>
        <v>2008FemaleNon-Maori21</v>
      </c>
      <c r="B164">
        <v>2008</v>
      </c>
      <c r="C164" t="s">
        <v>5</v>
      </c>
      <c r="D164" t="s">
        <v>16</v>
      </c>
      <c r="E164">
        <v>21</v>
      </c>
      <c r="F164">
        <v>1</v>
      </c>
      <c r="G164">
        <v>0.304321363359708</v>
      </c>
      <c r="H164">
        <v>0.6</v>
      </c>
      <c r="I164">
        <v>-0.29567863664029198</v>
      </c>
      <c r="J164">
        <v>0.90432136335970803</v>
      </c>
    </row>
    <row r="165" spans="1:10" x14ac:dyDescent="0.2">
      <c r="A165" t="str">
        <f t="shared" si="2"/>
        <v>2008FemaleNon-Maori22</v>
      </c>
      <c r="B165">
        <v>2008</v>
      </c>
      <c r="C165" t="s">
        <v>5</v>
      </c>
      <c r="D165" t="s">
        <v>16</v>
      </c>
      <c r="E165">
        <v>22</v>
      </c>
      <c r="F165">
        <v>20</v>
      </c>
      <c r="G165">
        <v>8.3156625504137001</v>
      </c>
      <c r="H165">
        <v>3.6</v>
      </c>
      <c r="I165">
        <v>4.7156625504137004</v>
      </c>
      <c r="J165">
        <v>11.9156625504137</v>
      </c>
    </row>
    <row r="166" spans="1:10" x14ac:dyDescent="0.2">
      <c r="A166" t="str">
        <f t="shared" si="2"/>
        <v>2008FemaleNon-Maori23</v>
      </c>
      <c r="B166">
        <v>2008</v>
      </c>
      <c r="C166" t="s">
        <v>5</v>
      </c>
      <c r="D166" t="s">
        <v>16</v>
      </c>
      <c r="E166">
        <v>23</v>
      </c>
      <c r="F166">
        <v>40</v>
      </c>
      <c r="G166">
        <v>7.7069805976763499</v>
      </c>
      <c r="H166">
        <v>2.4</v>
      </c>
      <c r="I166">
        <v>5.3069805976763504</v>
      </c>
      <c r="J166">
        <v>10.1069805976763</v>
      </c>
    </row>
    <row r="167" spans="1:10" x14ac:dyDescent="0.2">
      <c r="A167" t="str">
        <f t="shared" si="2"/>
        <v>2008FemaleNon-Maori24</v>
      </c>
      <c r="B167">
        <v>2008</v>
      </c>
      <c r="C167" t="s">
        <v>5</v>
      </c>
      <c r="D167" t="s">
        <v>16</v>
      </c>
      <c r="E167">
        <v>24</v>
      </c>
      <c r="F167">
        <v>32</v>
      </c>
      <c r="G167">
        <v>6.6474168553563597</v>
      </c>
      <c r="H167">
        <v>2.2999999999999998</v>
      </c>
      <c r="I167">
        <v>4.3474168553563599</v>
      </c>
      <c r="J167">
        <v>8.9474168553563604</v>
      </c>
    </row>
    <row r="168" spans="1:10" x14ac:dyDescent="0.2">
      <c r="A168" t="str">
        <f t="shared" si="2"/>
        <v>2008FemaleNon-Maori25</v>
      </c>
      <c r="B168">
        <v>2008</v>
      </c>
      <c r="C168" t="s">
        <v>5</v>
      </c>
      <c r="D168" t="s">
        <v>16</v>
      </c>
      <c r="E168">
        <v>25</v>
      </c>
      <c r="F168">
        <v>15</v>
      </c>
      <c r="G168">
        <v>5.38889886833124</v>
      </c>
      <c r="H168">
        <v>2.7</v>
      </c>
      <c r="I168">
        <v>2.6888988683312398</v>
      </c>
      <c r="J168">
        <v>8.0888988683312402</v>
      </c>
    </row>
    <row r="169" spans="1:10" x14ac:dyDescent="0.2">
      <c r="A169" t="str">
        <f t="shared" si="2"/>
        <v>2008MaleAllEth21</v>
      </c>
      <c r="B169">
        <v>2008</v>
      </c>
      <c r="C169" t="s">
        <v>17</v>
      </c>
      <c r="D169" t="s">
        <v>24</v>
      </c>
      <c r="E169">
        <v>21</v>
      </c>
      <c r="F169">
        <v>2</v>
      </c>
      <c r="G169">
        <v>0.43591979075850001</v>
      </c>
      <c r="H169">
        <v>0.6</v>
      </c>
      <c r="I169">
        <v>-0.16408020924149999</v>
      </c>
      <c r="J169">
        <v>1.0359197907585</v>
      </c>
    </row>
    <row r="170" spans="1:10" x14ac:dyDescent="0.2">
      <c r="A170" t="str">
        <f t="shared" si="2"/>
        <v>2008MaleAllEth22</v>
      </c>
      <c r="B170">
        <v>2008</v>
      </c>
      <c r="C170" t="s">
        <v>17</v>
      </c>
      <c r="D170" t="s">
        <v>24</v>
      </c>
      <c r="E170">
        <v>22</v>
      </c>
      <c r="F170">
        <v>83</v>
      </c>
      <c r="G170">
        <v>27.1899364476184</v>
      </c>
      <c r="H170">
        <v>5.8</v>
      </c>
      <c r="I170">
        <v>21.3899364476184</v>
      </c>
      <c r="J170">
        <v>32.989936447618398</v>
      </c>
    </row>
    <row r="171" spans="1:10" x14ac:dyDescent="0.2">
      <c r="A171" t="str">
        <f t="shared" si="2"/>
        <v>2008MaleAllEth23</v>
      </c>
      <c r="B171">
        <v>2008</v>
      </c>
      <c r="C171" t="s">
        <v>17</v>
      </c>
      <c r="D171" t="s">
        <v>24</v>
      </c>
      <c r="E171">
        <v>23</v>
      </c>
      <c r="F171">
        <v>133</v>
      </c>
      <c r="G171">
        <v>23.638140940193701</v>
      </c>
      <c r="H171">
        <v>4</v>
      </c>
      <c r="I171">
        <v>19.638140940193701</v>
      </c>
      <c r="J171">
        <v>27.638140940193701</v>
      </c>
    </row>
    <row r="172" spans="1:10" x14ac:dyDescent="0.2">
      <c r="A172" t="str">
        <f t="shared" si="2"/>
        <v>2008MaleAllEth24</v>
      </c>
      <c r="B172">
        <v>2008</v>
      </c>
      <c r="C172" t="s">
        <v>17</v>
      </c>
      <c r="D172" t="s">
        <v>24</v>
      </c>
      <c r="E172">
        <v>24</v>
      </c>
      <c r="F172">
        <v>125</v>
      </c>
      <c r="G172">
        <v>24.221050999845001</v>
      </c>
      <c r="H172">
        <v>4.2</v>
      </c>
      <c r="I172">
        <v>20.021050999844999</v>
      </c>
      <c r="J172">
        <v>28.421050999845001</v>
      </c>
    </row>
    <row r="173" spans="1:10" x14ac:dyDescent="0.2">
      <c r="A173" t="str">
        <f t="shared" si="2"/>
        <v>2008MaleAllEth25</v>
      </c>
      <c r="B173">
        <v>2008</v>
      </c>
      <c r="C173" t="s">
        <v>17</v>
      </c>
      <c r="D173" t="s">
        <v>24</v>
      </c>
      <c r="E173">
        <v>25</v>
      </c>
      <c r="F173">
        <v>36</v>
      </c>
      <c r="G173">
        <v>14.890800794176</v>
      </c>
      <c r="H173">
        <v>4.9000000000000004</v>
      </c>
      <c r="I173">
        <v>9.9908007941760406</v>
      </c>
      <c r="J173">
        <v>19.790800794176</v>
      </c>
    </row>
    <row r="174" spans="1:10" x14ac:dyDescent="0.2">
      <c r="A174" t="str">
        <f t="shared" si="2"/>
        <v>2008MaleMaori21</v>
      </c>
      <c r="B174">
        <v>2008</v>
      </c>
      <c r="C174" t="s">
        <v>17</v>
      </c>
      <c r="D174" t="s">
        <v>15</v>
      </c>
      <c r="E174">
        <v>21</v>
      </c>
      <c r="F174">
        <v>2</v>
      </c>
      <c r="G174">
        <v>1.75192711983181</v>
      </c>
      <c r="H174">
        <v>2.4</v>
      </c>
      <c r="I174">
        <v>-0.64807288016818498</v>
      </c>
      <c r="J174">
        <v>4.15192711983181</v>
      </c>
    </row>
    <row r="175" spans="1:10" x14ac:dyDescent="0.2">
      <c r="A175" t="str">
        <f t="shared" si="2"/>
        <v>2008MaleMaori22</v>
      </c>
      <c r="B175">
        <v>2008</v>
      </c>
      <c r="C175" t="s">
        <v>17</v>
      </c>
      <c r="D175" t="s">
        <v>15</v>
      </c>
      <c r="E175">
        <v>22</v>
      </c>
      <c r="F175">
        <v>17</v>
      </c>
      <c r="G175">
        <v>28.857579358343202</v>
      </c>
      <c r="H175">
        <v>13.7</v>
      </c>
      <c r="I175">
        <v>15.157579358343201</v>
      </c>
      <c r="J175">
        <v>42.557579358343197</v>
      </c>
    </row>
    <row r="176" spans="1:10" x14ac:dyDescent="0.2">
      <c r="A176" t="str">
        <f t="shared" si="2"/>
        <v>2008MaleMaori23</v>
      </c>
      <c r="B176">
        <v>2008</v>
      </c>
      <c r="C176" t="s">
        <v>17</v>
      </c>
      <c r="D176" t="s">
        <v>15</v>
      </c>
      <c r="E176">
        <v>23</v>
      </c>
      <c r="F176">
        <v>28</v>
      </c>
      <c r="G176">
        <v>35.523978685612803</v>
      </c>
      <c r="H176">
        <v>13.2</v>
      </c>
      <c r="I176">
        <v>22.323978685612801</v>
      </c>
      <c r="J176">
        <v>48.723978685612799</v>
      </c>
    </row>
    <row r="177" spans="1:10" x14ac:dyDescent="0.2">
      <c r="A177" t="str">
        <f t="shared" si="2"/>
        <v>2008MaleMaori24</v>
      </c>
      <c r="B177">
        <v>2008</v>
      </c>
      <c r="C177" t="s">
        <v>17</v>
      </c>
      <c r="D177" t="s">
        <v>15</v>
      </c>
      <c r="E177">
        <v>24</v>
      </c>
      <c r="F177">
        <v>8</v>
      </c>
      <c r="G177">
        <v>15.7946692991116</v>
      </c>
      <c r="H177">
        <v>10.9</v>
      </c>
      <c r="I177">
        <v>4.8946692991115501</v>
      </c>
      <c r="J177">
        <v>26.694669299111599</v>
      </c>
    </row>
    <row r="178" spans="1:10" x14ac:dyDescent="0.2">
      <c r="A178" t="str">
        <f t="shared" si="2"/>
        <v>2008MaleMaori25</v>
      </c>
      <c r="B178">
        <v>2008</v>
      </c>
      <c r="C178" t="s">
        <v>17</v>
      </c>
      <c r="D178" t="s">
        <v>15</v>
      </c>
      <c r="E178">
        <v>25</v>
      </c>
      <c r="F178">
        <v>1</v>
      </c>
      <c r="G178">
        <v>7.8554595443833497</v>
      </c>
      <c r="H178">
        <v>15.4</v>
      </c>
      <c r="I178">
        <v>-7.5445404556166498</v>
      </c>
      <c r="J178">
        <v>23.255459544383299</v>
      </c>
    </row>
    <row r="179" spans="1:10" x14ac:dyDescent="0.2">
      <c r="A179" t="str">
        <f t="shared" si="2"/>
        <v>2008MaleNon-Maori21</v>
      </c>
      <c r="B179">
        <v>2008</v>
      </c>
      <c r="C179" t="s">
        <v>17</v>
      </c>
      <c r="D179" t="s">
        <v>16</v>
      </c>
      <c r="E179">
        <v>21</v>
      </c>
      <c r="F179">
        <v>0</v>
      </c>
      <c r="G179">
        <v>0</v>
      </c>
    </row>
    <row r="180" spans="1:10" x14ac:dyDescent="0.2">
      <c r="A180" t="str">
        <f t="shared" si="2"/>
        <v>2008MaleNon-Maori22</v>
      </c>
      <c r="B180">
        <v>2008</v>
      </c>
      <c r="C180" t="s">
        <v>17</v>
      </c>
      <c r="D180" t="s">
        <v>16</v>
      </c>
      <c r="E180">
        <v>22</v>
      </c>
      <c r="F180">
        <v>66</v>
      </c>
      <c r="G180">
        <v>26.791150801704902</v>
      </c>
      <c r="H180">
        <v>6.5</v>
      </c>
      <c r="I180">
        <v>20.291150801704902</v>
      </c>
      <c r="J180">
        <v>33.291150801704902</v>
      </c>
    </row>
    <row r="181" spans="1:10" x14ac:dyDescent="0.2">
      <c r="A181" t="str">
        <f t="shared" si="2"/>
        <v>2008MaleNon-Maori23</v>
      </c>
      <c r="B181">
        <v>2008</v>
      </c>
      <c r="C181" t="s">
        <v>17</v>
      </c>
      <c r="D181" t="s">
        <v>16</v>
      </c>
      <c r="E181">
        <v>23</v>
      </c>
      <c r="F181">
        <v>105</v>
      </c>
      <c r="G181">
        <v>21.701837422235101</v>
      </c>
      <c r="H181">
        <v>4.2</v>
      </c>
      <c r="I181">
        <v>17.501837422235099</v>
      </c>
      <c r="J181">
        <v>25.901837422235101</v>
      </c>
    </row>
    <row r="182" spans="1:10" x14ac:dyDescent="0.2">
      <c r="A182" t="str">
        <f t="shared" si="2"/>
        <v>2008MaleNon-Maori24</v>
      </c>
      <c r="B182">
        <v>2008</v>
      </c>
      <c r="C182" t="s">
        <v>17</v>
      </c>
      <c r="D182" t="s">
        <v>16</v>
      </c>
      <c r="E182">
        <v>24</v>
      </c>
      <c r="F182">
        <v>117</v>
      </c>
      <c r="G182">
        <v>25.138044389059601</v>
      </c>
      <c r="H182">
        <v>4.5999999999999996</v>
      </c>
      <c r="I182">
        <v>20.5380443890596</v>
      </c>
      <c r="J182">
        <v>29.738044389059599</v>
      </c>
    </row>
    <row r="183" spans="1:10" x14ac:dyDescent="0.2">
      <c r="A183" t="str">
        <f t="shared" si="2"/>
        <v>2008MaleNon-Maori25</v>
      </c>
      <c r="B183">
        <v>2008</v>
      </c>
      <c r="C183" t="s">
        <v>17</v>
      </c>
      <c r="D183" t="s">
        <v>16</v>
      </c>
      <c r="E183">
        <v>25</v>
      </c>
      <c r="F183">
        <v>35</v>
      </c>
      <c r="G183">
        <v>15.281840806881201</v>
      </c>
      <c r="H183">
        <v>5.0999999999999996</v>
      </c>
      <c r="I183">
        <v>10.181840806881199</v>
      </c>
      <c r="J183">
        <v>20.3818408068812</v>
      </c>
    </row>
    <row r="184" spans="1:10" x14ac:dyDescent="0.2">
      <c r="A184" t="str">
        <f t="shared" si="2"/>
        <v>2009AllSexAllEth21</v>
      </c>
      <c r="B184">
        <v>2009</v>
      </c>
      <c r="C184" t="s">
        <v>14</v>
      </c>
      <c r="D184" t="s">
        <v>24</v>
      </c>
      <c r="E184">
        <v>21</v>
      </c>
      <c r="F184">
        <v>10</v>
      </c>
      <c r="G184">
        <v>1.1096069772086701</v>
      </c>
      <c r="H184">
        <v>0.7</v>
      </c>
      <c r="I184">
        <v>0.40960697720867301</v>
      </c>
      <c r="J184">
        <v>1.80960697720867</v>
      </c>
    </row>
    <row r="185" spans="1:10" x14ac:dyDescent="0.2">
      <c r="A185" t="str">
        <f t="shared" si="2"/>
        <v>2009AllSexAllEth22</v>
      </c>
      <c r="B185">
        <v>2009</v>
      </c>
      <c r="C185" t="s">
        <v>14</v>
      </c>
      <c r="D185" t="s">
        <v>24</v>
      </c>
      <c r="E185">
        <v>22</v>
      </c>
      <c r="F185">
        <v>116</v>
      </c>
      <c r="G185">
        <v>19.004554539794899</v>
      </c>
      <c r="H185">
        <v>3.5</v>
      </c>
      <c r="I185">
        <v>15.504554539794899</v>
      </c>
      <c r="J185">
        <v>22.504554539794899</v>
      </c>
    </row>
    <row r="186" spans="1:10" x14ac:dyDescent="0.2">
      <c r="A186" t="str">
        <f t="shared" si="2"/>
        <v>2009AllSexAllEth23</v>
      </c>
      <c r="B186">
        <v>2009</v>
      </c>
      <c r="C186" t="s">
        <v>14</v>
      </c>
      <c r="D186" t="s">
        <v>24</v>
      </c>
      <c r="E186">
        <v>23</v>
      </c>
      <c r="F186">
        <v>173</v>
      </c>
      <c r="G186">
        <v>14.832724591457</v>
      </c>
      <c r="H186">
        <v>2.2000000000000002</v>
      </c>
      <c r="I186">
        <v>12.632724591457</v>
      </c>
      <c r="J186">
        <v>17.032724591457001</v>
      </c>
    </row>
    <row r="187" spans="1:10" x14ac:dyDescent="0.2">
      <c r="A187" t="str">
        <f t="shared" si="2"/>
        <v>2009AllSexAllEth24</v>
      </c>
      <c r="B187">
        <v>2009</v>
      </c>
      <c r="C187" t="s">
        <v>14</v>
      </c>
      <c r="D187" t="s">
        <v>24</v>
      </c>
      <c r="E187">
        <v>24</v>
      </c>
      <c r="F187">
        <v>159</v>
      </c>
      <c r="G187">
        <v>14.740238068750701</v>
      </c>
      <c r="H187">
        <v>2.2999999999999998</v>
      </c>
      <c r="I187">
        <v>12.4402380687507</v>
      </c>
      <c r="J187">
        <v>17.0402380687507</v>
      </c>
    </row>
    <row r="188" spans="1:10" x14ac:dyDescent="0.2">
      <c r="A188" t="str">
        <f t="shared" si="2"/>
        <v>2009AllSexAllEth25</v>
      </c>
      <c r="B188">
        <v>2009</v>
      </c>
      <c r="C188" t="s">
        <v>14</v>
      </c>
      <c r="D188" t="s">
        <v>24</v>
      </c>
      <c r="E188">
        <v>25</v>
      </c>
      <c r="F188">
        <v>54</v>
      </c>
      <c r="G188">
        <v>9.8484433988072393</v>
      </c>
      <c r="H188">
        <v>2.6</v>
      </c>
      <c r="I188">
        <v>7.2484433988072396</v>
      </c>
      <c r="J188">
        <v>12.4484433988072</v>
      </c>
    </row>
    <row r="189" spans="1:10" x14ac:dyDescent="0.2">
      <c r="A189" t="str">
        <f t="shared" si="2"/>
        <v>2009AllSexMaori21</v>
      </c>
      <c r="B189">
        <v>2009</v>
      </c>
      <c r="C189" t="s">
        <v>14</v>
      </c>
      <c r="D189" t="s">
        <v>15</v>
      </c>
      <c r="E189">
        <v>21</v>
      </c>
      <c r="F189">
        <v>5</v>
      </c>
      <c r="G189">
        <v>2.21425091891413</v>
      </c>
      <c r="H189">
        <v>1.9</v>
      </c>
      <c r="I189">
        <v>0.31425091891413098</v>
      </c>
      <c r="J189">
        <v>4.1142509189141299</v>
      </c>
    </row>
    <row r="190" spans="1:10" x14ac:dyDescent="0.2">
      <c r="A190" t="str">
        <f t="shared" si="2"/>
        <v>2009AllSexMaori22</v>
      </c>
      <c r="B190">
        <v>2009</v>
      </c>
      <c r="C190" t="s">
        <v>14</v>
      </c>
      <c r="D190" t="s">
        <v>15</v>
      </c>
      <c r="E190">
        <v>22</v>
      </c>
      <c r="F190">
        <v>35</v>
      </c>
      <c r="G190">
        <v>28.863598878443</v>
      </c>
      <c r="H190">
        <v>9.6</v>
      </c>
      <c r="I190">
        <v>19.263598878442998</v>
      </c>
      <c r="J190">
        <v>38.463598878443001</v>
      </c>
    </row>
    <row r="191" spans="1:10" x14ac:dyDescent="0.2">
      <c r="A191" t="str">
        <f t="shared" si="2"/>
        <v>2009AllSexMaori23</v>
      </c>
      <c r="B191">
        <v>2009</v>
      </c>
      <c r="C191" t="s">
        <v>14</v>
      </c>
      <c r="D191" t="s">
        <v>15</v>
      </c>
      <c r="E191">
        <v>23</v>
      </c>
      <c r="F191">
        <v>31</v>
      </c>
      <c r="G191">
        <v>18.520731270163701</v>
      </c>
      <c r="H191">
        <v>6.5</v>
      </c>
      <c r="I191">
        <v>12.020731270163701</v>
      </c>
      <c r="J191">
        <v>25.020731270163701</v>
      </c>
    </row>
    <row r="192" spans="1:10" x14ac:dyDescent="0.2">
      <c r="A192" t="str">
        <f t="shared" si="2"/>
        <v>2009AllSexMaori24</v>
      </c>
      <c r="B192">
        <v>2009</v>
      </c>
      <c r="C192" t="s">
        <v>14</v>
      </c>
      <c r="D192" t="s">
        <v>15</v>
      </c>
      <c r="E192">
        <v>24</v>
      </c>
      <c r="F192">
        <v>11</v>
      </c>
      <c r="G192">
        <v>9.8858632156016899</v>
      </c>
      <c r="H192">
        <v>5.8</v>
      </c>
      <c r="I192">
        <v>4.0858632156016901</v>
      </c>
      <c r="J192">
        <v>15.685863215601699</v>
      </c>
    </row>
    <row r="193" spans="1:10" x14ac:dyDescent="0.2">
      <c r="A193" t="str">
        <f t="shared" si="2"/>
        <v>2009AllSexMaori25</v>
      </c>
      <c r="B193">
        <v>2009</v>
      </c>
      <c r="C193" t="s">
        <v>14</v>
      </c>
      <c r="D193" t="s">
        <v>15</v>
      </c>
      <c r="E193">
        <v>25</v>
      </c>
      <c r="F193">
        <v>1</v>
      </c>
      <c r="G193">
        <v>3.4048348655090201</v>
      </c>
      <c r="H193">
        <v>6.7</v>
      </c>
      <c r="I193">
        <v>-3.29516513449098</v>
      </c>
      <c r="J193">
        <v>10.104834865509</v>
      </c>
    </row>
    <row r="194" spans="1:10" x14ac:dyDescent="0.2">
      <c r="A194" t="str">
        <f t="shared" si="2"/>
        <v>2009AllSexNon-Maori21</v>
      </c>
      <c r="B194">
        <v>2009</v>
      </c>
      <c r="C194" t="s">
        <v>14</v>
      </c>
      <c r="D194" t="s">
        <v>16</v>
      </c>
      <c r="E194">
        <v>21</v>
      </c>
      <c r="F194">
        <v>5</v>
      </c>
      <c r="G194">
        <v>0.74029108245362096</v>
      </c>
      <c r="H194">
        <v>0.6</v>
      </c>
      <c r="I194">
        <v>0.14029108245362101</v>
      </c>
      <c r="J194">
        <v>1.3402910824536201</v>
      </c>
    </row>
    <row r="195" spans="1:10" x14ac:dyDescent="0.2">
      <c r="A195" t="str">
        <f t="shared" si="2"/>
        <v>2009AllSexNon-Maori22</v>
      </c>
      <c r="B195">
        <v>2009</v>
      </c>
      <c r="C195" t="s">
        <v>14</v>
      </c>
      <c r="D195" t="s">
        <v>16</v>
      </c>
      <c r="E195">
        <v>22</v>
      </c>
      <c r="F195">
        <v>81</v>
      </c>
      <c r="G195">
        <v>16.560353287536799</v>
      </c>
      <c r="H195">
        <v>3.6</v>
      </c>
      <c r="I195">
        <v>12.960353287536799</v>
      </c>
      <c r="J195">
        <v>20.1603532875368</v>
      </c>
    </row>
    <row r="196" spans="1:10" x14ac:dyDescent="0.2">
      <c r="A196" t="str">
        <f t="shared" ref="A196:A259" si="3">B196&amp;C196&amp;D196&amp;E196</f>
        <v>2009AllSexNon-Maori23</v>
      </c>
      <c r="B196">
        <v>2009</v>
      </c>
      <c r="C196" t="s">
        <v>14</v>
      </c>
      <c r="D196" t="s">
        <v>16</v>
      </c>
      <c r="E196">
        <v>23</v>
      </c>
      <c r="F196">
        <v>142</v>
      </c>
      <c r="G196">
        <v>14.2147833747097</v>
      </c>
      <c r="H196">
        <v>2.2999999999999998</v>
      </c>
      <c r="I196">
        <v>11.9147833747097</v>
      </c>
      <c r="J196">
        <v>16.514783374709701</v>
      </c>
    </row>
    <row r="197" spans="1:10" x14ac:dyDescent="0.2">
      <c r="A197" t="str">
        <f t="shared" si="3"/>
        <v>2009AllSexNon-Maori24</v>
      </c>
      <c r="B197">
        <v>2009</v>
      </c>
      <c r="C197" t="s">
        <v>14</v>
      </c>
      <c r="D197" t="s">
        <v>16</v>
      </c>
      <c r="E197">
        <v>24</v>
      </c>
      <c r="F197">
        <v>148</v>
      </c>
      <c r="G197">
        <v>15.298580746529399</v>
      </c>
      <c r="H197">
        <v>2.5</v>
      </c>
      <c r="I197">
        <v>12.798580746529399</v>
      </c>
      <c r="J197">
        <v>17.798580746529399</v>
      </c>
    </row>
    <row r="198" spans="1:10" x14ac:dyDescent="0.2">
      <c r="A198" t="str">
        <f t="shared" si="3"/>
        <v>2009AllSexNon-Maori25</v>
      </c>
      <c r="B198">
        <v>2009</v>
      </c>
      <c r="C198" t="s">
        <v>14</v>
      </c>
      <c r="D198" t="s">
        <v>16</v>
      </c>
      <c r="E198">
        <v>25</v>
      </c>
      <c r="F198">
        <v>53</v>
      </c>
      <c r="G198">
        <v>10.2131267583921</v>
      </c>
      <c r="H198">
        <v>2.7</v>
      </c>
      <c r="I198">
        <v>7.5131267583921097</v>
      </c>
      <c r="J198">
        <v>12.913126758392099</v>
      </c>
    </row>
    <row r="199" spans="1:10" x14ac:dyDescent="0.2">
      <c r="A199" t="str">
        <f t="shared" si="3"/>
        <v>2009FemaleAllEth21</v>
      </c>
      <c r="B199">
        <v>2009</v>
      </c>
      <c r="C199" t="s">
        <v>5</v>
      </c>
      <c r="D199" t="s">
        <v>24</v>
      </c>
      <c r="E199">
        <v>21</v>
      </c>
      <c r="F199">
        <v>4</v>
      </c>
      <c r="G199">
        <v>0.91099571832012405</v>
      </c>
      <c r="H199">
        <v>0.9</v>
      </c>
      <c r="I199">
        <v>1.0995718320123899E-2</v>
      </c>
      <c r="J199">
        <v>1.81099571832012</v>
      </c>
    </row>
    <row r="200" spans="1:10" x14ac:dyDescent="0.2">
      <c r="A200" t="str">
        <f t="shared" si="3"/>
        <v>2009FemaleAllEth22</v>
      </c>
      <c r="B200">
        <v>2009</v>
      </c>
      <c r="C200" t="s">
        <v>5</v>
      </c>
      <c r="D200" t="s">
        <v>24</v>
      </c>
      <c r="E200">
        <v>22</v>
      </c>
      <c r="F200">
        <v>21</v>
      </c>
      <c r="G200">
        <v>6.9318369367882502</v>
      </c>
      <c r="H200">
        <v>3</v>
      </c>
      <c r="I200">
        <v>3.9318369367882502</v>
      </c>
      <c r="J200">
        <v>9.9318369367882493</v>
      </c>
    </row>
    <row r="201" spans="1:10" x14ac:dyDescent="0.2">
      <c r="A201" t="str">
        <f t="shared" si="3"/>
        <v>2009FemaleAllEth23</v>
      </c>
      <c r="B201">
        <v>2009</v>
      </c>
      <c r="C201" t="s">
        <v>5</v>
      </c>
      <c r="D201" t="s">
        <v>24</v>
      </c>
      <c r="E201">
        <v>23</v>
      </c>
      <c r="F201">
        <v>41</v>
      </c>
      <c r="G201">
        <v>6.7636675574911704</v>
      </c>
      <c r="H201">
        <v>2.1</v>
      </c>
      <c r="I201">
        <v>4.6636675574911699</v>
      </c>
      <c r="J201">
        <v>8.8636675574911692</v>
      </c>
    </row>
    <row r="202" spans="1:10" x14ac:dyDescent="0.2">
      <c r="A202" t="str">
        <f t="shared" si="3"/>
        <v>2009FemaleAllEth24</v>
      </c>
      <c r="B202">
        <v>2009</v>
      </c>
      <c r="C202" t="s">
        <v>5</v>
      </c>
      <c r="D202" t="s">
        <v>24</v>
      </c>
      <c r="E202">
        <v>24</v>
      </c>
      <c r="F202">
        <v>39</v>
      </c>
      <c r="G202">
        <v>7.0749582758870897</v>
      </c>
      <c r="H202">
        <v>2.2000000000000002</v>
      </c>
      <c r="I202">
        <v>4.8749582758870904</v>
      </c>
      <c r="J202">
        <v>9.2749582758870908</v>
      </c>
    </row>
    <row r="203" spans="1:10" x14ac:dyDescent="0.2">
      <c r="A203" t="str">
        <f t="shared" si="3"/>
        <v>2009FemaleAllEth25</v>
      </c>
      <c r="B203">
        <v>2009</v>
      </c>
      <c r="C203" t="s">
        <v>5</v>
      </c>
      <c r="D203" t="s">
        <v>24</v>
      </c>
      <c r="E203">
        <v>25</v>
      </c>
      <c r="F203">
        <v>13</v>
      </c>
      <c r="G203">
        <v>4.3381052491073504</v>
      </c>
      <c r="H203">
        <v>2.4</v>
      </c>
      <c r="I203">
        <v>1.93810524910735</v>
      </c>
      <c r="J203">
        <v>6.7381052491073499</v>
      </c>
    </row>
    <row r="204" spans="1:10" x14ac:dyDescent="0.2">
      <c r="A204" t="str">
        <f t="shared" si="3"/>
        <v>2009FemaleMaori21</v>
      </c>
      <c r="B204">
        <v>2009</v>
      </c>
      <c r="C204" t="s">
        <v>5</v>
      </c>
      <c r="D204" t="s">
        <v>15</v>
      </c>
      <c r="E204">
        <v>21</v>
      </c>
      <c r="F204">
        <v>2</v>
      </c>
      <c r="G204">
        <v>1.8216595318335</v>
      </c>
      <c r="H204">
        <v>2.5</v>
      </c>
      <c r="I204">
        <v>-0.67834046816649995</v>
      </c>
      <c r="J204">
        <v>4.3216595318335003</v>
      </c>
    </row>
    <row r="205" spans="1:10" x14ac:dyDescent="0.2">
      <c r="A205" t="str">
        <f t="shared" si="3"/>
        <v>2009FemaleMaori22</v>
      </c>
      <c r="B205">
        <v>2009</v>
      </c>
      <c r="C205" t="s">
        <v>5</v>
      </c>
      <c r="D205" t="s">
        <v>15</v>
      </c>
      <c r="E205">
        <v>22</v>
      </c>
      <c r="F205">
        <v>11</v>
      </c>
      <c r="G205">
        <v>17.889087656529501</v>
      </c>
      <c r="H205">
        <v>10.6</v>
      </c>
      <c r="I205">
        <v>7.28908765652952</v>
      </c>
      <c r="J205">
        <v>28.489087656529499</v>
      </c>
    </row>
    <row r="206" spans="1:10" x14ac:dyDescent="0.2">
      <c r="A206" t="str">
        <f t="shared" si="3"/>
        <v>2009FemaleMaori23</v>
      </c>
      <c r="B206">
        <v>2009</v>
      </c>
      <c r="C206" t="s">
        <v>5</v>
      </c>
      <c r="D206" t="s">
        <v>15</v>
      </c>
      <c r="E206">
        <v>23</v>
      </c>
      <c r="F206">
        <v>8</v>
      </c>
      <c r="G206">
        <v>8.9827082865483892</v>
      </c>
      <c r="H206">
        <v>6.2</v>
      </c>
      <c r="I206">
        <v>2.7827082865483899</v>
      </c>
      <c r="J206">
        <v>15.182708286548401</v>
      </c>
    </row>
    <row r="207" spans="1:10" x14ac:dyDescent="0.2">
      <c r="A207" t="str">
        <f t="shared" si="3"/>
        <v>2009FemaleMaori24</v>
      </c>
      <c r="B207">
        <v>2009</v>
      </c>
      <c r="C207" t="s">
        <v>5</v>
      </c>
      <c r="D207" t="s">
        <v>15</v>
      </c>
      <c r="E207">
        <v>24</v>
      </c>
      <c r="F207">
        <v>4</v>
      </c>
      <c r="G207">
        <v>6.8247739293635901</v>
      </c>
      <c r="H207">
        <v>6.7</v>
      </c>
      <c r="I207">
        <v>0.12477392936359</v>
      </c>
      <c r="J207">
        <v>13.524773929363599</v>
      </c>
    </row>
    <row r="208" spans="1:10" x14ac:dyDescent="0.2">
      <c r="A208" t="str">
        <f t="shared" si="3"/>
        <v>2009FemaleMaori25</v>
      </c>
      <c r="B208">
        <v>2009</v>
      </c>
      <c r="C208" t="s">
        <v>5</v>
      </c>
      <c r="D208" t="s">
        <v>15</v>
      </c>
      <c r="E208">
        <v>25</v>
      </c>
      <c r="F208">
        <v>0</v>
      </c>
      <c r="G208">
        <v>0</v>
      </c>
    </row>
    <row r="209" spans="1:10" x14ac:dyDescent="0.2">
      <c r="A209" t="str">
        <f t="shared" si="3"/>
        <v>2009FemaleNon-Maori21</v>
      </c>
      <c r="B209">
        <v>2009</v>
      </c>
      <c r="C209" t="s">
        <v>5</v>
      </c>
      <c r="D209" t="s">
        <v>16</v>
      </c>
      <c r="E209">
        <v>21</v>
      </c>
      <c r="F209">
        <v>2</v>
      </c>
      <c r="G209">
        <v>0.60736736615141695</v>
      </c>
      <c r="H209">
        <v>0.8</v>
      </c>
      <c r="I209">
        <v>-0.19263263384858301</v>
      </c>
      <c r="J209">
        <v>1.4073673661514201</v>
      </c>
    </row>
    <row r="210" spans="1:10" x14ac:dyDescent="0.2">
      <c r="A210" t="str">
        <f t="shared" si="3"/>
        <v>2009FemaleNon-Maori22</v>
      </c>
      <c r="B210">
        <v>2009</v>
      </c>
      <c r="C210" t="s">
        <v>5</v>
      </c>
      <c r="D210" t="s">
        <v>16</v>
      </c>
      <c r="E210">
        <v>22</v>
      </c>
      <c r="F210">
        <v>10</v>
      </c>
      <c r="G210">
        <v>4.1414727076948603</v>
      </c>
      <c r="H210">
        <v>2.6</v>
      </c>
      <c r="I210">
        <v>1.54147270769486</v>
      </c>
      <c r="J210">
        <v>6.74147270769486</v>
      </c>
    </row>
    <row r="211" spans="1:10" x14ac:dyDescent="0.2">
      <c r="A211" t="str">
        <f t="shared" si="3"/>
        <v>2009FemaleNon-Maori23</v>
      </c>
      <c r="B211">
        <v>2009</v>
      </c>
      <c r="C211" t="s">
        <v>5</v>
      </c>
      <c r="D211" t="s">
        <v>16</v>
      </c>
      <c r="E211">
        <v>23</v>
      </c>
      <c r="F211">
        <v>33</v>
      </c>
      <c r="G211">
        <v>6.3814975247524801</v>
      </c>
      <c r="H211">
        <v>2.2000000000000002</v>
      </c>
      <c r="I211">
        <v>4.1814975247524799</v>
      </c>
      <c r="J211">
        <v>8.5814975247524696</v>
      </c>
    </row>
    <row r="212" spans="1:10" x14ac:dyDescent="0.2">
      <c r="A212" t="str">
        <f t="shared" si="3"/>
        <v>2009FemaleNon-Maori24</v>
      </c>
      <c r="B212">
        <v>2009</v>
      </c>
      <c r="C212" t="s">
        <v>5</v>
      </c>
      <c r="D212" t="s">
        <v>16</v>
      </c>
      <c r="E212">
        <v>24</v>
      </c>
      <c r="F212">
        <v>35</v>
      </c>
      <c r="G212">
        <v>7.1047236262509399</v>
      </c>
      <c r="H212">
        <v>2.4</v>
      </c>
      <c r="I212">
        <v>4.7047236262509404</v>
      </c>
      <c r="J212">
        <v>9.5047236262509394</v>
      </c>
    </row>
    <row r="213" spans="1:10" x14ac:dyDescent="0.2">
      <c r="A213" t="str">
        <f t="shared" si="3"/>
        <v>2009FemaleNon-Maori25</v>
      </c>
      <c r="B213">
        <v>2009</v>
      </c>
      <c r="C213" t="s">
        <v>5</v>
      </c>
      <c r="D213" t="s">
        <v>16</v>
      </c>
      <c r="E213">
        <v>25</v>
      </c>
      <c r="F213">
        <v>13</v>
      </c>
      <c r="G213">
        <v>4.5840826545364797</v>
      </c>
      <c r="H213">
        <v>2.5</v>
      </c>
      <c r="I213">
        <v>2.0840826545364801</v>
      </c>
      <c r="J213">
        <v>7.0840826545364797</v>
      </c>
    </row>
    <row r="214" spans="1:10" x14ac:dyDescent="0.2">
      <c r="A214" t="str">
        <f t="shared" si="3"/>
        <v>2009MaleAllEth21</v>
      </c>
      <c r="B214">
        <v>2009</v>
      </c>
      <c r="C214" t="s">
        <v>17</v>
      </c>
      <c r="D214" t="s">
        <v>24</v>
      </c>
      <c r="E214">
        <v>21</v>
      </c>
      <c r="F214">
        <v>6</v>
      </c>
      <c r="G214">
        <v>1.2983078720734</v>
      </c>
      <c r="H214">
        <v>1</v>
      </c>
      <c r="I214">
        <v>0.29830787207339798</v>
      </c>
      <c r="J214">
        <v>2.2983078720734</v>
      </c>
    </row>
    <row r="215" spans="1:10" x14ac:dyDescent="0.2">
      <c r="A215" t="str">
        <f t="shared" si="3"/>
        <v>2009MaleAllEth22</v>
      </c>
      <c r="B215">
        <v>2009</v>
      </c>
      <c r="C215" t="s">
        <v>17</v>
      </c>
      <c r="D215" t="s">
        <v>24</v>
      </c>
      <c r="E215">
        <v>22</v>
      </c>
      <c r="F215">
        <v>95</v>
      </c>
      <c r="G215">
        <v>30.900338277387501</v>
      </c>
      <c r="H215">
        <v>6.2</v>
      </c>
      <c r="I215">
        <v>24.700338277387502</v>
      </c>
      <c r="J215">
        <v>37.1003382773875</v>
      </c>
    </row>
    <row r="216" spans="1:10" x14ac:dyDescent="0.2">
      <c r="A216" t="str">
        <f t="shared" si="3"/>
        <v>2009MaleAllEth23</v>
      </c>
      <c r="B216">
        <v>2009</v>
      </c>
      <c r="C216" t="s">
        <v>17</v>
      </c>
      <c r="D216" t="s">
        <v>24</v>
      </c>
      <c r="E216">
        <v>23</v>
      </c>
      <c r="F216">
        <v>132</v>
      </c>
      <c r="G216">
        <v>23.565116486655398</v>
      </c>
      <c r="H216">
        <v>4</v>
      </c>
      <c r="I216">
        <v>19.565116486655398</v>
      </c>
      <c r="J216">
        <v>27.565116486655398</v>
      </c>
    </row>
    <row r="217" spans="1:10" x14ac:dyDescent="0.2">
      <c r="A217" t="str">
        <f t="shared" si="3"/>
        <v>2009MaleAllEth24</v>
      </c>
      <c r="B217">
        <v>2009</v>
      </c>
      <c r="C217" t="s">
        <v>17</v>
      </c>
      <c r="D217" t="s">
        <v>24</v>
      </c>
      <c r="E217">
        <v>24</v>
      </c>
      <c r="F217">
        <v>120</v>
      </c>
      <c r="G217">
        <v>22.752265746463902</v>
      </c>
      <c r="H217">
        <v>4.0999999999999996</v>
      </c>
      <c r="I217">
        <v>18.6522657464639</v>
      </c>
      <c r="J217">
        <v>26.8522657464639</v>
      </c>
    </row>
    <row r="218" spans="1:10" x14ac:dyDescent="0.2">
      <c r="A218" t="str">
        <f t="shared" si="3"/>
        <v>2009MaleAllEth25</v>
      </c>
      <c r="B218">
        <v>2009</v>
      </c>
      <c r="C218" t="s">
        <v>17</v>
      </c>
      <c r="D218" t="s">
        <v>24</v>
      </c>
      <c r="E218">
        <v>25</v>
      </c>
      <c r="F218">
        <v>41</v>
      </c>
      <c r="G218">
        <v>16.489703989704001</v>
      </c>
      <c r="H218">
        <v>5</v>
      </c>
      <c r="I218">
        <v>11.489703989703999</v>
      </c>
      <c r="J218">
        <v>21.489703989704001</v>
      </c>
    </row>
    <row r="219" spans="1:10" x14ac:dyDescent="0.2">
      <c r="A219" t="str">
        <f t="shared" si="3"/>
        <v>2009MaleMaori21</v>
      </c>
      <c r="B219">
        <v>2009</v>
      </c>
      <c r="C219" t="s">
        <v>17</v>
      </c>
      <c r="D219" t="s">
        <v>15</v>
      </c>
      <c r="E219">
        <v>21</v>
      </c>
      <c r="F219">
        <v>3</v>
      </c>
      <c r="G219">
        <v>2.5857610756766101</v>
      </c>
      <c r="H219">
        <v>2.9</v>
      </c>
      <c r="I219">
        <v>-0.31423892432339301</v>
      </c>
      <c r="J219">
        <v>5.48576107567661</v>
      </c>
    </row>
    <row r="220" spans="1:10" x14ac:dyDescent="0.2">
      <c r="A220" t="str">
        <f t="shared" si="3"/>
        <v>2009MaleMaori22</v>
      </c>
      <c r="B220">
        <v>2009</v>
      </c>
      <c r="C220" t="s">
        <v>17</v>
      </c>
      <c r="D220" t="s">
        <v>15</v>
      </c>
      <c r="E220">
        <v>22</v>
      </c>
      <c r="F220">
        <v>24</v>
      </c>
      <c r="G220">
        <v>40.140491721023601</v>
      </c>
      <c r="H220">
        <v>16.100000000000001</v>
      </c>
      <c r="I220">
        <v>24.040491721023599</v>
      </c>
      <c r="J220">
        <v>56.240491721023602</v>
      </c>
    </row>
    <row r="221" spans="1:10" x14ac:dyDescent="0.2">
      <c r="A221" t="str">
        <f t="shared" si="3"/>
        <v>2009MaleMaori23</v>
      </c>
      <c r="B221">
        <v>2009</v>
      </c>
      <c r="C221" t="s">
        <v>17</v>
      </c>
      <c r="D221" t="s">
        <v>15</v>
      </c>
      <c r="E221">
        <v>23</v>
      </c>
      <c r="F221">
        <v>23</v>
      </c>
      <c r="G221">
        <v>29.362951614962299</v>
      </c>
      <c r="H221">
        <v>12</v>
      </c>
      <c r="I221">
        <v>17.362951614962299</v>
      </c>
      <c r="J221">
        <v>41.362951614962299</v>
      </c>
    </row>
    <row r="222" spans="1:10" x14ac:dyDescent="0.2">
      <c r="A222" t="str">
        <f t="shared" si="3"/>
        <v>2009MaleMaori24</v>
      </c>
      <c r="B222">
        <v>2009</v>
      </c>
      <c r="C222" t="s">
        <v>17</v>
      </c>
      <c r="D222" t="s">
        <v>15</v>
      </c>
      <c r="E222">
        <v>24</v>
      </c>
      <c r="F222">
        <v>7</v>
      </c>
      <c r="G222">
        <v>13.292821876186901</v>
      </c>
      <c r="H222">
        <v>9.8000000000000007</v>
      </c>
      <c r="I222">
        <v>3.4928218761868601</v>
      </c>
      <c r="J222">
        <v>23.0928218761869</v>
      </c>
    </row>
    <row r="223" spans="1:10" x14ac:dyDescent="0.2">
      <c r="A223" t="str">
        <f t="shared" si="3"/>
        <v>2009MaleMaori25</v>
      </c>
      <c r="B223">
        <v>2009</v>
      </c>
      <c r="C223" t="s">
        <v>17</v>
      </c>
      <c r="D223" t="s">
        <v>15</v>
      </c>
      <c r="E223">
        <v>25</v>
      </c>
      <c r="F223">
        <v>1</v>
      </c>
      <c r="G223">
        <v>7.5244544770504103</v>
      </c>
      <c r="H223">
        <v>14.7</v>
      </c>
      <c r="I223">
        <v>-7.1755455229495899</v>
      </c>
      <c r="J223">
        <v>22.224454477050401</v>
      </c>
    </row>
    <row r="224" spans="1:10" x14ac:dyDescent="0.2">
      <c r="A224" t="str">
        <f t="shared" si="3"/>
        <v>2009MaleNon-Maori21</v>
      </c>
      <c r="B224">
        <v>2009</v>
      </c>
      <c r="C224" t="s">
        <v>17</v>
      </c>
      <c r="D224" t="s">
        <v>16</v>
      </c>
      <c r="E224">
        <v>21</v>
      </c>
      <c r="F224">
        <v>3</v>
      </c>
      <c r="G224">
        <v>0.86675141569397895</v>
      </c>
      <c r="H224">
        <v>1</v>
      </c>
      <c r="I224">
        <v>-0.13324858430602099</v>
      </c>
      <c r="J224">
        <v>1.86675141569398</v>
      </c>
    </row>
    <row r="225" spans="1:10" x14ac:dyDescent="0.2">
      <c r="A225" t="str">
        <f t="shared" si="3"/>
        <v>2009MaleNon-Maori22</v>
      </c>
      <c r="B225">
        <v>2009</v>
      </c>
      <c r="C225" t="s">
        <v>17</v>
      </c>
      <c r="D225" t="s">
        <v>16</v>
      </c>
      <c r="E225">
        <v>22</v>
      </c>
      <c r="F225">
        <v>71</v>
      </c>
      <c r="G225">
        <v>28.669493236422401</v>
      </c>
      <c r="H225">
        <v>6.7</v>
      </c>
      <c r="I225">
        <v>21.969493236422402</v>
      </c>
      <c r="J225">
        <v>35.3694932364224</v>
      </c>
    </row>
    <row r="226" spans="1:10" x14ac:dyDescent="0.2">
      <c r="A226" t="str">
        <f t="shared" si="3"/>
        <v>2009MaleNon-Maori23</v>
      </c>
      <c r="B226">
        <v>2009</v>
      </c>
      <c r="C226" t="s">
        <v>17</v>
      </c>
      <c r="D226" t="s">
        <v>16</v>
      </c>
      <c r="E226">
        <v>23</v>
      </c>
      <c r="F226">
        <v>109</v>
      </c>
      <c r="G226">
        <v>22.622556141297601</v>
      </c>
      <c r="H226">
        <v>4.2</v>
      </c>
      <c r="I226">
        <v>18.422556141297601</v>
      </c>
      <c r="J226">
        <v>26.8225561412976</v>
      </c>
    </row>
    <row r="227" spans="1:10" x14ac:dyDescent="0.2">
      <c r="A227" t="str">
        <f t="shared" si="3"/>
        <v>2009MaleNon-Maori24</v>
      </c>
      <c r="B227">
        <v>2009</v>
      </c>
      <c r="C227" t="s">
        <v>17</v>
      </c>
      <c r="D227" t="s">
        <v>16</v>
      </c>
      <c r="E227">
        <v>24</v>
      </c>
      <c r="F227">
        <v>113</v>
      </c>
      <c r="G227">
        <v>23.8014997051142</v>
      </c>
      <c r="H227">
        <v>4.4000000000000004</v>
      </c>
      <c r="I227">
        <v>19.401499705114201</v>
      </c>
      <c r="J227">
        <v>28.201499705114198</v>
      </c>
    </row>
    <row r="228" spans="1:10" x14ac:dyDescent="0.2">
      <c r="A228" t="str">
        <f t="shared" si="3"/>
        <v>2009MaleNon-Maori25</v>
      </c>
      <c r="B228">
        <v>2009</v>
      </c>
      <c r="C228" t="s">
        <v>17</v>
      </c>
      <c r="D228" t="s">
        <v>16</v>
      </c>
      <c r="E228">
        <v>25</v>
      </c>
      <c r="F228">
        <v>40</v>
      </c>
      <c r="G228">
        <v>16.995963458678599</v>
      </c>
      <c r="H228">
        <v>5.3</v>
      </c>
      <c r="I228">
        <v>11.6959634586786</v>
      </c>
      <c r="J228">
        <v>22.2959634586786</v>
      </c>
    </row>
    <row r="229" spans="1:10" x14ac:dyDescent="0.2">
      <c r="A229" t="str">
        <f t="shared" si="3"/>
        <v>2010AllSexAllEth21</v>
      </c>
      <c r="B229">
        <v>2010</v>
      </c>
      <c r="C229" t="s">
        <v>14</v>
      </c>
      <c r="D229" t="s">
        <v>24</v>
      </c>
      <c r="E229">
        <v>21</v>
      </c>
      <c r="F229">
        <v>6</v>
      </c>
      <c r="G229">
        <v>0.66079295154185003</v>
      </c>
      <c r="H229">
        <v>0.5</v>
      </c>
      <c r="I229">
        <v>0.16079295154185</v>
      </c>
      <c r="J229">
        <v>1.16079295154185</v>
      </c>
    </row>
    <row r="230" spans="1:10" x14ac:dyDescent="0.2">
      <c r="A230" t="str">
        <f t="shared" si="3"/>
        <v>2010AllSexAllEth22</v>
      </c>
      <c r="B230">
        <v>2010</v>
      </c>
      <c r="C230" t="s">
        <v>14</v>
      </c>
      <c r="D230" t="s">
        <v>24</v>
      </c>
      <c r="E230">
        <v>22</v>
      </c>
      <c r="F230">
        <v>111</v>
      </c>
      <c r="G230">
        <v>17.966397979994198</v>
      </c>
      <c r="H230">
        <v>3.3</v>
      </c>
      <c r="I230">
        <v>14.666397979994199</v>
      </c>
      <c r="J230">
        <v>21.266397979994199</v>
      </c>
    </row>
    <row r="231" spans="1:10" x14ac:dyDescent="0.2">
      <c r="A231" t="str">
        <f t="shared" si="3"/>
        <v>2010AllSexAllEth23</v>
      </c>
      <c r="B231">
        <v>2010</v>
      </c>
      <c r="C231" t="s">
        <v>14</v>
      </c>
      <c r="D231" t="s">
        <v>24</v>
      </c>
      <c r="E231">
        <v>23</v>
      </c>
      <c r="F231">
        <v>199</v>
      </c>
      <c r="G231">
        <v>17.109007591584799</v>
      </c>
      <c r="H231">
        <v>2.4</v>
      </c>
      <c r="I231">
        <v>14.7090075915848</v>
      </c>
      <c r="J231">
        <v>19.509007591584801</v>
      </c>
    </row>
    <row r="232" spans="1:10" x14ac:dyDescent="0.2">
      <c r="A232" t="str">
        <f t="shared" si="3"/>
        <v>2010AllSexAllEth24</v>
      </c>
      <c r="B232">
        <v>2010</v>
      </c>
      <c r="C232" t="s">
        <v>14</v>
      </c>
      <c r="D232" t="s">
        <v>24</v>
      </c>
      <c r="E232">
        <v>24</v>
      </c>
      <c r="F232">
        <v>161</v>
      </c>
      <c r="G232">
        <v>14.628650347998301</v>
      </c>
      <c r="H232">
        <v>2.2999999999999998</v>
      </c>
      <c r="I232">
        <v>12.3286503479983</v>
      </c>
      <c r="J232">
        <v>16.9286503479983</v>
      </c>
    </row>
    <row r="233" spans="1:10" x14ac:dyDescent="0.2">
      <c r="A233" t="str">
        <f t="shared" si="3"/>
        <v>2010AllSexAllEth25</v>
      </c>
      <c r="B233">
        <v>2010</v>
      </c>
      <c r="C233" t="s">
        <v>14</v>
      </c>
      <c r="D233" t="s">
        <v>24</v>
      </c>
      <c r="E233">
        <v>25</v>
      </c>
      <c r="F233">
        <v>57</v>
      </c>
      <c r="G233">
        <v>10.1162481142959</v>
      </c>
      <c r="H233">
        <v>2.6</v>
      </c>
      <c r="I233">
        <v>7.5162481142958599</v>
      </c>
      <c r="J233">
        <v>12.716248114295899</v>
      </c>
    </row>
    <row r="234" spans="1:10" x14ac:dyDescent="0.2">
      <c r="A234" t="str">
        <f t="shared" si="3"/>
        <v>2010AllSexMaori21</v>
      </c>
      <c r="B234">
        <v>2010</v>
      </c>
      <c r="C234" t="s">
        <v>14</v>
      </c>
      <c r="D234" t="s">
        <v>15</v>
      </c>
      <c r="E234">
        <v>21</v>
      </c>
      <c r="F234">
        <v>4</v>
      </c>
      <c r="G234">
        <v>1.74703004891684</v>
      </c>
      <c r="H234">
        <v>1.7</v>
      </c>
      <c r="I234">
        <v>4.7030048916841399E-2</v>
      </c>
      <c r="J234">
        <v>3.4470300489168402</v>
      </c>
    </row>
    <row r="235" spans="1:10" x14ac:dyDescent="0.2">
      <c r="A235" t="str">
        <f t="shared" si="3"/>
        <v>2010AllSexMaori22</v>
      </c>
      <c r="B235">
        <v>2010</v>
      </c>
      <c r="C235" t="s">
        <v>14</v>
      </c>
      <c r="D235" t="s">
        <v>15</v>
      </c>
      <c r="E235">
        <v>22</v>
      </c>
      <c r="F235">
        <v>42</v>
      </c>
      <c r="G235">
        <v>34.126919639229698</v>
      </c>
      <c r="H235">
        <v>10.3</v>
      </c>
      <c r="I235">
        <v>23.8269196392297</v>
      </c>
      <c r="J235">
        <v>44.426919639229702</v>
      </c>
    </row>
    <row r="236" spans="1:10" x14ac:dyDescent="0.2">
      <c r="A236" t="str">
        <f t="shared" si="3"/>
        <v>2010AllSexMaori23</v>
      </c>
      <c r="B236">
        <v>2010</v>
      </c>
      <c r="C236" t="s">
        <v>14</v>
      </c>
      <c r="D236" t="s">
        <v>15</v>
      </c>
      <c r="E236">
        <v>23</v>
      </c>
      <c r="F236">
        <v>41</v>
      </c>
      <c r="G236">
        <v>24.4863831820354</v>
      </c>
      <c r="H236">
        <v>7.5</v>
      </c>
      <c r="I236">
        <v>16.9863831820354</v>
      </c>
      <c r="J236">
        <v>31.9863831820354</v>
      </c>
    </row>
    <row r="237" spans="1:10" x14ac:dyDescent="0.2">
      <c r="A237" t="str">
        <f t="shared" si="3"/>
        <v>2010AllSexMaori24</v>
      </c>
      <c r="B237">
        <v>2010</v>
      </c>
      <c r="C237" t="s">
        <v>14</v>
      </c>
      <c r="D237" t="s">
        <v>15</v>
      </c>
      <c r="E237">
        <v>24</v>
      </c>
      <c r="F237">
        <v>15</v>
      </c>
      <c r="G237">
        <v>12.978023879563899</v>
      </c>
      <c r="H237">
        <v>6.6</v>
      </c>
      <c r="I237">
        <v>6.3780238795639397</v>
      </c>
      <c r="J237">
        <v>19.578023879563901</v>
      </c>
    </row>
    <row r="238" spans="1:10" x14ac:dyDescent="0.2">
      <c r="A238" t="str">
        <f t="shared" si="3"/>
        <v>2010AllSexMaori25</v>
      </c>
      <c r="B238">
        <v>2010</v>
      </c>
      <c r="C238" t="s">
        <v>14</v>
      </c>
      <c r="D238" t="s">
        <v>15</v>
      </c>
      <c r="E238">
        <v>25</v>
      </c>
      <c r="F238">
        <v>0</v>
      </c>
      <c r="G238">
        <v>0</v>
      </c>
    </row>
    <row r="239" spans="1:10" x14ac:dyDescent="0.2">
      <c r="A239" t="str">
        <f t="shared" si="3"/>
        <v>2010AllSexNon-Maori21</v>
      </c>
      <c r="B239">
        <v>2010</v>
      </c>
      <c r="C239" t="s">
        <v>14</v>
      </c>
      <c r="D239" t="s">
        <v>16</v>
      </c>
      <c r="E239">
        <v>21</v>
      </c>
      <c r="F239">
        <v>2</v>
      </c>
      <c r="G239">
        <v>0.29453345900094302</v>
      </c>
      <c r="H239">
        <v>0.4</v>
      </c>
      <c r="I239">
        <v>-0.105466540999058</v>
      </c>
      <c r="J239">
        <v>0.69453345900094299</v>
      </c>
    </row>
    <row r="240" spans="1:10" x14ac:dyDescent="0.2">
      <c r="A240" t="str">
        <f t="shared" si="3"/>
        <v>2010AllSexNon-Maori22</v>
      </c>
      <c r="B240">
        <v>2010</v>
      </c>
      <c r="C240" t="s">
        <v>14</v>
      </c>
      <c r="D240" t="s">
        <v>16</v>
      </c>
      <c r="E240">
        <v>22</v>
      </c>
      <c r="F240">
        <v>69</v>
      </c>
      <c r="G240">
        <v>13.9464375947448</v>
      </c>
      <c r="H240">
        <v>3.3</v>
      </c>
      <c r="I240">
        <v>10.6464375947448</v>
      </c>
      <c r="J240">
        <v>17.246437594744801</v>
      </c>
    </row>
    <row r="241" spans="1:10" x14ac:dyDescent="0.2">
      <c r="A241" t="str">
        <f t="shared" si="3"/>
        <v>2010AllSexNon-Maori23</v>
      </c>
      <c r="B241">
        <v>2010</v>
      </c>
      <c r="C241" t="s">
        <v>14</v>
      </c>
      <c r="D241" t="s">
        <v>16</v>
      </c>
      <c r="E241">
        <v>23</v>
      </c>
      <c r="F241">
        <v>158</v>
      </c>
      <c r="G241">
        <v>15.868392772850999</v>
      </c>
      <c r="H241">
        <v>2.5</v>
      </c>
      <c r="I241">
        <v>13.368392772850999</v>
      </c>
      <c r="J241">
        <v>18.368392772850999</v>
      </c>
    </row>
    <row r="242" spans="1:10" x14ac:dyDescent="0.2">
      <c r="A242" t="str">
        <f t="shared" si="3"/>
        <v>2010AllSexNon-Maori24</v>
      </c>
      <c r="B242">
        <v>2010</v>
      </c>
      <c r="C242" t="s">
        <v>14</v>
      </c>
      <c r="D242" t="s">
        <v>16</v>
      </c>
      <c r="E242">
        <v>24</v>
      </c>
      <c r="F242">
        <v>146</v>
      </c>
      <c r="G242">
        <v>14.822335025380699</v>
      </c>
      <c r="H242">
        <v>2.4</v>
      </c>
      <c r="I242">
        <v>12.422335025380701</v>
      </c>
      <c r="J242">
        <v>17.222335025380701</v>
      </c>
    </row>
    <row r="243" spans="1:10" x14ac:dyDescent="0.2">
      <c r="A243" t="str">
        <f t="shared" si="3"/>
        <v>2010AllSexNon-Maori25</v>
      </c>
      <c r="B243">
        <v>2010</v>
      </c>
      <c r="C243" t="s">
        <v>14</v>
      </c>
      <c r="D243" t="s">
        <v>16</v>
      </c>
      <c r="E243">
        <v>25</v>
      </c>
      <c r="F243">
        <v>57</v>
      </c>
      <c r="G243">
        <v>10.7016127518165</v>
      </c>
      <c r="H243">
        <v>2.8</v>
      </c>
      <c r="I243">
        <v>7.9016127518164598</v>
      </c>
      <c r="J243">
        <v>13.5016127518165</v>
      </c>
    </row>
    <row r="244" spans="1:10" x14ac:dyDescent="0.2">
      <c r="A244" t="str">
        <f t="shared" si="3"/>
        <v>2010FemaleAllEth21</v>
      </c>
      <c r="B244">
        <v>2010</v>
      </c>
      <c r="C244" t="s">
        <v>5</v>
      </c>
      <c r="D244" t="s">
        <v>24</v>
      </c>
      <c r="E244">
        <v>21</v>
      </c>
      <c r="F244">
        <v>3</v>
      </c>
      <c r="G244">
        <v>0.67821133065063099</v>
      </c>
      <c r="H244">
        <v>0.8</v>
      </c>
      <c r="I244">
        <v>-0.12178866934936899</v>
      </c>
      <c r="J244">
        <v>1.4782113306506299</v>
      </c>
    </row>
    <row r="245" spans="1:10" x14ac:dyDescent="0.2">
      <c r="A245" t="str">
        <f t="shared" si="3"/>
        <v>2010FemaleAllEth22</v>
      </c>
      <c r="B245">
        <v>2010</v>
      </c>
      <c r="C245" t="s">
        <v>5</v>
      </c>
      <c r="D245" t="s">
        <v>24</v>
      </c>
      <c r="E245">
        <v>22</v>
      </c>
      <c r="F245">
        <v>34</v>
      </c>
      <c r="G245">
        <v>11.1103849421606</v>
      </c>
      <c r="H245">
        <v>3.7</v>
      </c>
      <c r="I245">
        <v>7.4103849421606398</v>
      </c>
      <c r="J245">
        <v>14.810384942160599</v>
      </c>
    </row>
    <row r="246" spans="1:10" x14ac:dyDescent="0.2">
      <c r="A246" t="str">
        <f t="shared" si="3"/>
        <v>2010FemaleAllEth23</v>
      </c>
      <c r="B246">
        <v>2010</v>
      </c>
      <c r="C246" t="s">
        <v>5</v>
      </c>
      <c r="D246" t="s">
        <v>24</v>
      </c>
      <c r="E246">
        <v>23</v>
      </c>
      <c r="F246">
        <v>53</v>
      </c>
      <c r="G246">
        <v>8.7568567840856506</v>
      </c>
      <c r="H246">
        <v>2.4</v>
      </c>
      <c r="I246">
        <v>6.3568567840856502</v>
      </c>
      <c r="J246">
        <v>11.156856784085701</v>
      </c>
    </row>
    <row r="247" spans="1:10" x14ac:dyDescent="0.2">
      <c r="A247" t="str">
        <f t="shared" si="3"/>
        <v>2010FemaleAllEth24</v>
      </c>
      <c r="B247">
        <v>2010</v>
      </c>
      <c r="C247" t="s">
        <v>5</v>
      </c>
      <c r="D247" t="s">
        <v>24</v>
      </c>
      <c r="E247">
        <v>24</v>
      </c>
      <c r="F247">
        <v>43</v>
      </c>
      <c r="G247">
        <v>7.6322328718494896</v>
      </c>
      <c r="H247">
        <v>2.2999999999999998</v>
      </c>
      <c r="I247">
        <v>5.3322328718494898</v>
      </c>
      <c r="J247">
        <v>9.9322328718494894</v>
      </c>
    </row>
    <row r="248" spans="1:10" x14ac:dyDescent="0.2">
      <c r="A248" t="str">
        <f t="shared" si="3"/>
        <v>2010FemaleAllEth25</v>
      </c>
      <c r="B248">
        <v>2010</v>
      </c>
      <c r="C248" t="s">
        <v>5</v>
      </c>
      <c r="D248" t="s">
        <v>24</v>
      </c>
      <c r="E248">
        <v>25</v>
      </c>
      <c r="F248">
        <v>14</v>
      </c>
      <c r="G248">
        <v>4.5607062579405104</v>
      </c>
      <c r="H248">
        <v>2.4</v>
      </c>
      <c r="I248">
        <v>2.1607062579405101</v>
      </c>
      <c r="J248">
        <v>6.9607062579405197</v>
      </c>
    </row>
    <row r="249" spans="1:10" x14ac:dyDescent="0.2">
      <c r="A249" t="str">
        <f t="shared" si="3"/>
        <v>2010FemaleMaori21</v>
      </c>
      <c r="B249">
        <v>2010</v>
      </c>
      <c r="C249" t="s">
        <v>5</v>
      </c>
      <c r="D249" t="s">
        <v>15</v>
      </c>
      <c r="E249">
        <v>21</v>
      </c>
      <c r="F249">
        <v>2</v>
      </c>
      <c r="G249">
        <v>1.79710665828017</v>
      </c>
      <c r="H249">
        <v>2.5</v>
      </c>
      <c r="I249">
        <v>-0.70289334171983098</v>
      </c>
      <c r="J249">
        <v>4.2971066582801702</v>
      </c>
    </row>
    <row r="250" spans="1:10" x14ac:dyDescent="0.2">
      <c r="A250" t="str">
        <f t="shared" si="3"/>
        <v>2010FemaleMaori22</v>
      </c>
      <c r="B250">
        <v>2010</v>
      </c>
      <c r="C250" t="s">
        <v>5</v>
      </c>
      <c r="D250" t="s">
        <v>15</v>
      </c>
      <c r="E250">
        <v>22</v>
      </c>
      <c r="F250">
        <v>15</v>
      </c>
      <c r="G250">
        <v>24.0731824747232</v>
      </c>
      <c r="H250">
        <v>12.2</v>
      </c>
      <c r="I250">
        <v>11.873182474723199</v>
      </c>
      <c r="J250">
        <v>36.2731824747232</v>
      </c>
    </row>
    <row r="251" spans="1:10" x14ac:dyDescent="0.2">
      <c r="A251" t="str">
        <f t="shared" si="3"/>
        <v>2010FemaleMaori23</v>
      </c>
      <c r="B251">
        <v>2010</v>
      </c>
      <c r="C251" t="s">
        <v>5</v>
      </c>
      <c r="D251" t="s">
        <v>15</v>
      </c>
      <c r="E251">
        <v>23</v>
      </c>
      <c r="F251">
        <v>9</v>
      </c>
      <c r="G251">
        <v>10.0682402953351</v>
      </c>
      <c r="H251">
        <v>6.6</v>
      </c>
      <c r="I251">
        <v>3.46824029533505</v>
      </c>
      <c r="J251">
        <v>16.668240295335</v>
      </c>
    </row>
    <row r="252" spans="1:10" x14ac:dyDescent="0.2">
      <c r="A252" t="str">
        <f t="shared" si="3"/>
        <v>2010FemaleMaori24</v>
      </c>
      <c r="B252">
        <v>2010</v>
      </c>
      <c r="C252" t="s">
        <v>5</v>
      </c>
      <c r="D252" t="s">
        <v>15</v>
      </c>
      <c r="E252">
        <v>24</v>
      </c>
      <c r="F252">
        <v>4</v>
      </c>
      <c r="G252">
        <v>6.5649105530937097</v>
      </c>
      <c r="H252">
        <v>6.4</v>
      </c>
      <c r="I252">
        <v>0.164910553093714</v>
      </c>
      <c r="J252">
        <v>12.9649105530937</v>
      </c>
    </row>
    <row r="253" spans="1:10" x14ac:dyDescent="0.2">
      <c r="A253" t="str">
        <f t="shared" si="3"/>
        <v>2010FemaleMaori25</v>
      </c>
      <c r="B253">
        <v>2010</v>
      </c>
      <c r="C253" t="s">
        <v>5</v>
      </c>
      <c r="D253" t="s">
        <v>15</v>
      </c>
      <c r="E253">
        <v>25</v>
      </c>
      <c r="F253">
        <v>0</v>
      </c>
      <c r="G253">
        <v>0</v>
      </c>
    </row>
    <row r="254" spans="1:10" x14ac:dyDescent="0.2">
      <c r="A254" t="str">
        <f t="shared" si="3"/>
        <v>2010FemaleNon-Maori21</v>
      </c>
      <c r="B254">
        <v>2010</v>
      </c>
      <c r="C254" t="s">
        <v>5</v>
      </c>
      <c r="D254" t="s">
        <v>16</v>
      </c>
      <c r="E254">
        <v>21</v>
      </c>
      <c r="F254">
        <v>1</v>
      </c>
      <c r="G254">
        <v>0.30206917384081</v>
      </c>
      <c r="H254">
        <v>0.6</v>
      </c>
      <c r="I254">
        <v>-0.29793082615918998</v>
      </c>
      <c r="J254">
        <v>0.90206917384080998</v>
      </c>
    </row>
    <row r="255" spans="1:10" x14ac:dyDescent="0.2">
      <c r="A255" t="str">
        <f t="shared" si="3"/>
        <v>2010FemaleNon-Maori22</v>
      </c>
      <c r="B255">
        <v>2010</v>
      </c>
      <c r="C255" t="s">
        <v>5</v>
      </c>
      <c r="D255" t="s">
        <v>16</v>
      </c>
      <c r="E255">
        <v>22</v>
      </c>
      <c r="F255">
        <v>19</v>
      </c>
      <c r="G255">
        <v>7.7961511632678198</v>
      </c>
      <c r="H255">
        <v>3.5</v>
      </c>
      <c r="I255">
        <v>4.2961511632678198</v>
      </c>
      <c r="J255">
        <v>11.296151163267799</v>
      </c>
    </row>
    <row r="256" spans="1:10" x14ac:dyDescent="0.2">
      <c r="A256" t="str">
        <f t="shared" si="3"/>
        <v>2010FemaleNon-Maori23</v>
      </c>
      <c r="B256">
        <v>2010</v>
      </c>
      <c r="C256" t="s">
        <v>5</v>
      </c>
      <c r="D256" t="s">
        <v>16</v>
      </c>
      <c r="E256">
        <v>23</v>
      </c>
      <c r="F256">
        <v>44</v>
      </c>
      <c r="G256">
        <v>8.5296113211204805</v>
      </c>
      <c r="H256">
        <v>2.5</v>
      </c>
      <c r="I256">
        <v>6.0296113211204796</v>
      </c>
      <c r="J256">
        <v>11.0296113211205</v>
      </c>
    </row>
    <row r="257" spans="1:10" x14ac:dyDescent="0.2">
      <c r="A257" t="str">
        <f t="shared" si="3"/>
        <v>2010FemaleNon-Maori24</v>
      </c>
      <c r="B257">
        <v>2010</v>
      </c>
      <c r="C257" t="s">
        <v>5</v>
      </c>
      <c r="D257" t="s">
        <v>16</v>
      </c>
      <c r="E257">
        <v>24</v>
      </c>
      <c r="F257">
        <v>39</v>
      </c>
      <c r="G257">
        <v>7.7616574123828297</v>
      </c>
      <c r="H257">
        <v>2.4</v>
      </c>
      <c r="I257">
        <v>5.3616574123828302</v>
      </c>
      <c r="J257">
        <v>10.1616574123828</v>
      </c>
    </row>
    <row r="258" spans="1:10" x14ac:dyDescent="0.2">
      <c r="A258" t="str">
        <f t="shared" si="3"/>
        <v>2010FemaleNon-Maori25</v>
      </c>
      <c r="B258">
        <v>2010</v>
      </c>
      <c r="C258" t="s">
        <v>5</v>
      </c>
      <c r="D258" t="s">
        <v>16</v>
      </c>
      <c r="E258">
        <v>25</v>
      </c>
      <c r="F258">
        <v>14</v>
      </c>
      <c r="G258">
        <v>4.8262548262548304</v>
      </c>
      <c r="H258">
        <v>2.5</v>
      </c>
      <c r="I258">
        <v>2.3262548262548299</v>
      </c>
      <c r="J258">
        <v>7.3262548262548304</v>
      </c>
    </row>
    <row r="259" spans="1:10" x14ac:dyDescent="0.2">
      <c r="A259" t="str">
        <f t="shared" si="3"/>
        <v>2010MaleAllEth21</v>
      </c>
      <c r="B259">
        <v>2010</v>
      </c>
      <c r="C259" t="s">
        <v>17</v>
      </c>
      <c r="D259" t="s">
        <v>24</v>
      </c>
      <c r="E259">
        <v>21</v>
      </c>
      <c r="F259">
        <v>3</v>
      </c>
      <c r="G259">
        <v>0.64424687540265402</v>
      </c>
      <c r="H259">
        <v>0.7</v>
      </c>
      <c r="I259">
        <v>-5.5753124597345598E-2</v>
      </c>
      <c r="J259">
        <v>1.34424687540265</v>
      </c>
    </row>
    <row r="260" spans="1:10" x14ac:dyDescent="0.2">
      <c r="A260" t="str">
        <f t="shared" ref="A260:A323" si="4">B260&amp;C260&amp;D260&amp;E260</f>
        <v>2010MaleAllEth22</v>
      </c>
      <c r="B260">
        <v>2010</v>
      </c>
      <c r="C260" t="s">
        <v>17</v>
      </c>
      <c r="D260" t="s">
        <v>24</v>
      </c>
      <c r="E260">
        <v>22</v>
      </c>
      <c r="F260">
        <v>77</v>
      </c>
      <c r="G260">
        <v>24.6945255123312</v>
      </c>
      <c r="H260">
        <v>5.5</v>
      </c>
      <c r="I260">
        <v>19.1945255123312</v>
      </c>
      <c r="J260">
        <v>30.1945255123312</v>
      </c>
    </row>
    <row r="261" spans="1:10" x14ac:dyDescent="0.2">
      <c r="A261" t="str">
        <f t="shared" si="4"/>
        <v>2010MaleAllEth23</v>
      </c>
      <c r="B261">
        <v>2010</v>
      </c>
      <c r="C261" t="s">
        <v>17</v>
      </c>
      <c r="D261" t="s">
        <v>24</v>
      </c>
      <c r="E261">
        <v>23</v>
      </c>
      <c r="F261">
        <v>146</v>
      </c>
      <c r="G261">
        <v>26.170033519152501</v>
      </c>
      <c r="H261">
        <v>4.2</v>
      </c>
      <c r="I261">
        <v>21.970033519152501</v>
      </c>
      <c r="J261">
        <v>30.3700335191525</v>
      </c>
    </row>
    <row r="262" spans="1:10" x14ac:dyDescent="0.2">
      <c r="A262" t="str">
        <f t="shared" si="4"/>
        <v>2010MaleAllEth24</v>
      </c>
      <c r="B262">
        <v>2010</v>
      </c>
      <c r="C262" t="s">
        <v>17</v>
      </c>
      <c r="D262" t="s">
        <v>24</v>
      </c>
      <c r="E262">
        <v>24</v>
      </c>
      <c r="F262">
        <v>118</v>
      </c>
      <c r="G262">
        <v>21.966566141703002</v>
      </c>
      <c r="H262">
        <v>4</v>
      </c>
      <c r="I262">
        <v>17.966566141703002</v>
      </c>
      <c r="J262">
        <v>25.966566141703002</v>
      </c>
    </row>
    <row r="263" spans="1:10" x14ac:dyDescent="0.2">
      <c r="A263" t="str">
        <f t="shared" si="4"/>
        <v>2010MaleAllEth25</v>
      </c>
      <c r="B263">
        <v>2010</v>
      </c>
      <c r="C263" t="s">
        <v>17</v>
      </c>
      <c r="D263" t="s">
        <v>24</v>
      </c>
      <c r="E263">
        <v>25</v>
      </c>
      <c r="F263">
        <v>43</v>
      </c>
      <c r="G263">
        <v>16.766093500214399</v>
      </c>
      <c r="H263">
        <v>5</v>
      </c>
      <c r="I263">
        <v>11.766093500214399</v>
      </c>
      <c r="J263">
        <v>21.766093500214399</v>
      </c>
    </row>
    <row r="264" spans="1:10" x14ac:dyDescent="0.2">
      <c r="A264" t="str">
        <f t="shared" si="4"/>
        <v>2010MaleMaori21</v>
      </c>
      <c r="B264">
        <v>2010</v>
      </c>
      <c r="C264" t="s">
        <v>17</v>
      </c>
      <c r="D264" t="s">
        <v>15</v>
      </c>
      <c r="E264">
        <v>21</v>
      </c>
      <c r="F264">
        <v>2</v>
      </c>
      <c r="G264">
        <v>1.6996685646298999</v>
      </c>
      <c r="H264">
        <v>2.4</v>
      </c>
      <c r="I264">
        <v>-0.70033143537010301</v>
      </c>
      <c r="J264">
        <v>4.0996685646298996</v>
      </c>
    </row>
    <row r="265" spans="1:10" x14ac:dyDescent="0.2">
      <c r="A265" t="str">
        <f t="shared" si="4"/>
        <v>2010MaleMaori22</v>
      </c>
      <c r="B265">
        <v>2010</v>
      </c>
      <c r="C265" t="s">
        <v>17</v>
      </c>
      <c r="D265" t="s">
        <v>15</v>
      </c>
      <c r="E265">
        <v>22</v>
      </c>
      <c r="F265">
        <v>27</v>
      </c>
      <c r="G265">
        <v>44.437129690585898</v>
      </c>
      <c r="H265">
        <v>16.8</v>
      </c>
      <c r="I265">
        <v>27.637129690585901</v>
      </c>
      <c r="J265">
        <v>61.237129690585903</v>
      </c>
    </row>
    <row r="266" spans="1:10" x14ac:dyDescent="0.2">
      <c r="A266" t="str">
        <f t="shared" si="4"/>
        <v>2010MaleMaori23</v>
      </c>
      <c r="B266">
        <v>2010</v>
      </c>
      <c r="C266" t="s">
        <v>17</v>
      </c>
      <c r="D266" t="s">
        <v>15</v>
      </c>
      <c r="E266">
        <v>23</v>
      </c>
      <c r="F266">
        <v>32</v>
      </c>
      <c r="G266">
        <v>40.994107097104802</v>
      </c>
      <c r="H266">
        <v>14.2</v>
      </c>
      <c r="I266">
        <v>26.794107097104799</v>
      </c>
      <c r="J266">
        <v>55.194107097104798</v>
      </c>
    </row>
    <row r="267" spans="1:10" x14ac:dyDescent="0.2">
      <c r="A267" t="str">
        <f t="shared" si="4"/>
        <v>2010MaleMaori24</v>
      </c>
      <c r="B267">
        <v>2010</v>
      </c>
      <c r="C267" t="s">
        <v>17</v>
      </c>
      <c r="D267" t="s">
        <v>15</v>
      </c>
      <c r="E267">
        <v>24</v>
      </c>
      <c r="F267">
        <v>11</v>
      </c>
      <c r="G267">
        <v>20.139143170999599</v>
      </c>
      <c r="H267">
        <v>11.9</v>
      </c>
      <c r="I267">
        <v>8.2391431709996308</v>
      </c>
      <c r="J267">
        <v>32.039143170999601</v>
      </c>
    </row>
    <row r="268" spans="1:10" x14ac:dyDescent="0.2">
      <c r="A268" t="str">
        <f t="shared" si="4"/>
        <v>2010MaleMaori25</v>
      </c>
      <c r="B268">
        <v>2010</v>
      </c>
      <c r="C268" t="s">
        <v>17</v>
      </c>
      <c r="D268" t="s">
        <v>15</v>
      </c>
      <c r="E268">
        <v>25</v>
      </c>
      <c r="F268">
        <v>0</v>
      </c>
      <c r="G268">
        <v>0</v>
      </c>
    </row>
    <row r="269" spans="1:10" x14ac:dyDescent="0.2">
      <c r="A269" t="str">
        <f t="shared" si="4"/>
        <v>2010MaleNon-Maori21</v>
      </c>
      <c r="B269">
        <v>2010</v>
      </c>
      <c r="C269" t="s">
        <v>17</v>
      </c>
      <c r="D269" t="s">
        <v>16</v>
      </c>
      <c r="E269">
        <v>21</v>
      </c>
      <c r="F269">
        <v>1</v>
      </c>
      <c r="G269">
        <v>0.287364579441938</v>
      </c>
      <c r="H269">
        <v>0.6</v>
      </c>
      <c r="I269">
        <v>-0.31263542055806198</v>
      </c>
      <c r="J269">
        <v>0.88736457944193803</v>
      </c>
    </row>
    <row r="270" spans="1:10" x14ac:dyDescent="0.2">
      <c r="A270" t="str">
        <f t="shared" si="4"/>
        <v>2010MaleNon-Maori22</v>
      </c>
      <c r="B270">
        <v>2010</v>
      </c>
      <c r="C270" t="s">
        <v>17</v>
      </c>
      <c r="D270" t="s">
        <v>16</v>
      </c>
      <c r="E270">
        <v>22</v>
      </c>
      <c r="F270">
        <v>50</v>
      </c>
      <c r="G270">
        <v>19.9163513244374</v>
      </c>
      <c r="H270">
        <v>5.5</v>
      </c>
      <c r="I270">
        <v>14.4163513244374</v>
      </c>
      <c r="J270">
        <v>25.4163513244374</v>
      </c>
    </row>
    <row r="271" spans="1:10" x14ac:dyDescent="0.2">
      <c r="A271" t="str">
        <f t="shared" si="4"/>
        <v>2010MaleNon-Maori23</v>
      </c>
      <c r="B271">
        <v>2010</v>
      </c>
      <c r="C271" t="s">
        <v>17</v>
      </c>
      <c r="D271" t="s">
        <v>16</v>
      </c>
      <c r="E271">
        <v>23</v>
      </c>
      <c r="F271">
        <v>114</v>
      </c>
      <c r="G271">
        <v>23.758414438446898</v>
      </c>
      <c r="H271">
        <v>4.4000000000000004</v>
      </c>
      <c r="I271">
        <v>19.3584144384469</v>
      </c>
      <c r="J271">
        <v>28.158414438446901</v>
      </c>
    </row>
    <row r="272" spans="1:10" x14ac:dyDescent="0.2">
      <c r="A272" t="str">
        <f t="shared" si="4"/>
        <v>2010MaleNon-Maori24</v>
      </c>
      <c r="B272">
        <v>2010</v>
      </c>
      <c r="C272" t="s">
        <v>17</v>
      </c>
      <c r="D272" t="s">
        <v>16</v>
      </c>
      <c r="E272">
        <v>24</v>
      </c>
      <c r="F272">
        <v>107</v>
      </c>
      <c r="G272">
        <v>22.1734084880637</v>
      </c>
      <c r="H272">
        <v>4.2</v>
      </c>
      <c r="I272">
        <v>17.973408488063701</v>
      </c>
      <c r="J272">
        <v>26.373408488063699</v>
      </c>
    </row>
    <row r="273" spans="1:10" x14ac:dyDescent="0.2">
      <c r="A273" t="str">
        <f t="shared" si="4"/>
        <v>2010MaleNon-Maori25</v>
      </c>
      <c r="B273">
        <v>2010</v>
      </c>
      <c r="C273" t="s">
        <v>17</v>
      </c>
      <c r="D273" t="s">
        <v>16</v>
      </c>
      <c r="E273">
        <v>25</v>
      </c>
      <c r="F273">
        <v>43</v>
      </c>
      <c r="G273">
        <v>17.730496453900699</v>
      </c>
      <c r="H273">
        <v>5.3</v>
      </c>
      <c r="I273">
        <v>12.4304964539007</v>
      </c>
      <c r="J273">
        <v>23.0304964539007</v>
      </c>
    </row>
    <row r="274" spans="1:10" x14ac:dyDescent="0.2">
      <c r="A274" t="str">
        <f t="shared" si="4"/>
        <v>2011AllSexAllEth21</v>
      </c>
      <c r="B274">
        <v>2011</v>
      </c>
      <c r="C274" t="s">
        <v>14</v>
      </c>
      <c r="D274" t="s">
        <v>24</v>
      </c>
      <c r="E274">
        <v>21</v>
      </c>
      <c r="F274">
        <v>6</v>
      </c>
      <c r="G274">
        <v>0.65898582082175505</v>
      </c>
      <c r="H274">
        <v>0.5</v>
      </c>
      <c r="I274">
        <v>0.158985820821755</v>
      </c>
      <c r="J274">
        <v>1.15898582082176</v>
      </c>
    </row>
    <row r="275" spans="1:10" x14ac:dyDescent="0.2">
      <c r="A275" t="str">
        <f t="shared" si="4"/>
        <v>2011AllSexAllEth22</v>
      </c>
      <c r="B275">
        <v>2011</v>
      </c>
      <c r="C275" t="s">
        <v>14</v>
      </c>
      <c r="D275" t="s">
        <v>24</v>
      </c>
      <c r="E275">
        <v>22</v>
      </c>
      <c r="F275">
        <v>130</v>
      </c>
      <c r="G275">
        <v>20.876156217882802</v>
      </c>
      <c r="H275">
        <v>3.6</v>
      </c>
      <c r="I275">
        <v>17.2761562178828</v>
      </c>
      <c r="J275">
        <v>24.476156217882799</v>
      </c>
    </row>
    <row r="276" spans="1:10" x14ac:dyDescent="0.2">
      <c r="A276" t="str">
        <f t="shared" si="4"/>
        <v>2011AllSexAllEth23</v>
      </c>
      <c r="B276">
        <v>2011</v>
      </c>
      <c r="C276" t="s">
        <v>14</v>
      </c>
      <c r="D276" t="s">
        <v>24</v>
      </c>
      <c r="E276">
        <v>23</v>
      </c>
      <c r="F276">
        <v>163</v>
      </c>
      <c r="G276">
        <v>14.112065383017001</v>
      </c>
      <c r="H276">
        <v>2.2000000000000002</v>
      </c>
      <c r="I276">
        <v>11.912065383017</v>
      </c>
      <c r="J276">
        <v>16.312065383017</v>
      </c>
    </row>
    <row r="277" spans="1:10" x14ac:dyDescent="0.2">
      <c r="A277" t="str">
        <f t="shared" si="4"/>
        <v>2011AllSexAllEth24</v>
      </c>
      <c r="B277">
        <v>2011</v>
      </c>
      <c r="C277" t="s">
        <v>14</v>
      </c>
      <c r="D277" t="s">
        <v>24</v>
      </c>
      <c r="E277">
        <v>24</v>
      </c>
      <c r="F277">
        <v>150</v>
      </c>
      <c r="G277">
        <v>13.4247409025006</v>
      </c>
      <c r="H277">
        <v>2.1</v>
      </c>
      <c r="I277">
        <v>11.324740902500601</v>
      </c>
      <c r="J277">
        <v>15.5247409025006</v>
      </c>
    </row>
    <row r="278" spans="1:10" x14ac:dyDescent="0.2">
      <c r="A278" t="str">
        <f t="shared" si="4"/>
        <v>2011AllSexAllEth25</v>
      </c>
      <c r="B278">
        <v>2011</v>
      </c>
      <c r="C278" t="s">
        <v>14</v>
      </c>
      <c r="D278" t="s">
        <v>24</v>
      </c>
      <c r="E278">
        <v>25</v>
      </c>
      <c r="F278">
        <v>45</v>
      </c>
      <c r="G278">
        <v>7.7496684864036398</v>
      </c>
      <c r="H278">
        <v>2.2999999999999998</v>
      </c>
      <c r="I278">
        <v>5.44966848640364</v>
      </c>
      <c r="J278">
        <v>10.049668486403601</v>
      </c>
    </row>
    <row r="279" spans="1:10" x14ac:dyDescent="0.2">
      <c r="A279" t="str">
        <f t="shared" si="4"/>
        <v>2011AllSexMaori21</v>
      </c>
      <c r="B279">
        <v>2011</v>
      </c>
      <c r="C279" t="s">
        <v>14</v>
      </c>
      <c r="D279" t="s">
        <v>15</v>
      </c>
      <c r="E279">
        <v>21</v>
      </c>
      <c r="F279">
        <v>4</v>
      </c>
      <c r="G279">
        <v>1.7310771627645301</v>
      </c>
      <c r="H279">
        <v>1.7</v>
      </c>
      <c r="I279">
        <v>3.1077162764530299E-2</v>
      </c>
      <c r="J279">
        <v>3.43107716276453</v>
      </c>
    </row>
    <row r="280" spans="1:10" x14ac:dyDescent="0.2">
      <c r="A280" t="str">
        <f t="shared" si="4"/>
        <v>2011AllSexMaori22</v>
      </c>
      <c r="B280">
        <v>2011</v>
      </c>
      <c r="C280" t="s">
        <v>14</v>
      </c>
      <c r="D280" t="s">
        <v>15</v>
      </c>
      <c r="E280">
        <v>22</v>
      </c>
      <c r="F280">
        <v>49</v>
      </c>
      <c r="G280">
        <v>39.319531375381203</v>
      </c>
      <c r="H280">
        <v>11</v>
      </c>
      <c r="I280">
        <v>28.319531375381199</v>
      </c>
      <c r="J280">
        <v>50.319531375381203</v>
      </c>
    </row>
    <row r="281" spans="1:10" x14ac:dyDescent="0.2">
      <c r="A281" t="str">
        <f t="shared" si="4"/>
        <v>2011AllSexMaori23</v>
      </c>
      <c r="B281">
        <v>2011</v>
      </c>
      <c r="C281" t="s">
        <v>14</v>
      </c>
      <c r="D281" t="s">
        <v>15</v>
      </c>
      <c r="E281">
        <v>23</v>
      </c>
      <c r="F281">
        <v>44</v>
      </c>
      <c r="G281">
        <v>26.256116481680401</v>
      </c>
      <c r="H281">
        <v>7.8</v>
      </c>
      <c r="I281">
        <v>18.4561164816804</v>
      </c>
      <c r="J281">
        <v>34.056116481680398</v>
      </c>
    </row>
    <row r="282" spans="1:10" x14ac:dyDescent="0.2">
      <c r="A282" t="str">
        <f t="shared" si="4"/>
        <v>2011AllSexMaori24</v>
      </c>
      <c r="B282">
        <v>2011</v>
      </c>
      <c r="C282" t="s">
        <v>14</v>
      </c>
      <c r="D282" t="s">
        <v>15</v>
      </c>
      <c r="E282">
        <v>24</v>
      </c>
      <c r="F282">
        <v>16</v>
      </c>
      <c r="G282">
        <v>13.3723359799415</v>
      </c>
      <c r="H282">
        <v>6.6</v>
      </c>
      <c r="I282">
        <v>6.7723359799415004</v>
      </c>
      <c r="J282">
        <v>19.972335979941501</v>
      </c>
    </row>
    <row r="283" spans="1:10" x14ac:dyDescent="0.2">
      <c r="A283" t="str">
        <f t="shared" si="4"/>
        <v>2011AllSexMaori25</v>
      </c>
      <c r="B283">
        <v>2011</v>
      </c>
      <c r="C283" t="s">
        <v>14</v>
      </c>
      <c r="D283" t="s">
        <v>15</v>
      </c>
      <c r="E283">
        <v>25</v>
      </c>
      <c r="F283">
        <v>0</v>
      </c>
      <c r="G283">
        <v>0</v>
      </c>
    </row>
    <row r="284" spans="1:10" x14ac:dyDescent="0.2">
      <c r="A284" t="str">
        <f t="shared" si="4"/>
        <v>2011AllSexNon-Maori21</v>
      </c>
      <c r="B284">
        <v>2011</v>
      </c>
      <c r="C284" t="s">
        <v>14</v>
      </c>
      <c r="D284" t="s">
        <v>16</v>
      </c>
      <c r="E284">
        <v>21</v>
      </c>
      <c r="F284">
        <v>2</v>
      </c>
      <c r="G284">
        <v>0.294368726266521</v>
      </c>
      <c r="H284">
        <v>0.4</v>
      </c>
      <c r="I284">
        <v>-0.105631273733479</v>
      </c>
      <c r="J284">
        <v>0.69436872626652102</v>
      </c>
    </row>
    <row r="285" spans="1:10" x14ac:dyDescent="0.2">
      <c r="A285" t="str">
        <f t="shared" si="4"/>
        <v>2011AllSexNon-Maori22</v>
      </c>
      <c r="B285">
        <v>2011</v>
      </c>
      <c r="C285" t="s">
        <v>14</v>
      </c>
      <c r="D285" t="s">
        <v>16</v>
      </c>
      <c r="E285">
        <v>22</v>
      </c>
      <c r="F285">
        <v>81</v>
      </c>
      <c r="G285">
        <v>16.261794820317199</v>
      </c>
      <c r="H285">
        <v>3.5</v>
      </c>
      <c r="I285">
        <v>12.761794820317199</v>
      </c>
      <c r="J285">
        <v>19.761794820317199</v>
      </c>
    </row>
    <row r="286" spans="1:10" x14ac:dyDescent="0.2">
      <c r="A286" t="str">
        <f t="shared" si="4"/>
        <v>2011AllSexNon-Maori23</v>
      </c>
      <c r="B286">
        <v>2011</v>
      </c>
      <c r="C286" t="s">
        <v>14</v>
      </c>
      <c r="D286" t="s">
        <v>16</v>
      </c>
      <c r="E286">
        <v>23</v>
      </c>
      <c r="F286">
        <v>119</v>
      </c>
      <c r="G286">
        <v>12.051121058068199</v>
      </c>
      <c r="H286">
        <v>2.2000000000000002</v>
      </c>
      <c r="I286">
        <v>9.8511210580681698</v>
      </c>
      <c r="J286">
        <v>14.2511210580682</v>
      </c>
    </row>
    <row r="287" spans="1:10" x14ac:dyDescent="0.2">
      <c r="A287" t="str">
        <f t="shared" si="4"/>
        <v>2011AllSexNon-Maori24</v>
      </c>
      <c r="B287">
        <v>2011</v>
      </c>
      <c r="C287" t="s">
        <v>14</v>
      </c>
      <c r="D287" t="s">
        <v>16</v>
      </c>
      <c r="E287">
        <v>24</v>
      </c>
      <c r="F287">
        <v>134</v>
      </c>
      <c r="G287">
        <v>13.431025669296099</v>
      </c>
      <c r="H287">
        <v>2.2999999999999998</v>
      </c>
      <c r="I287">
        <v>11.1310256692961</v>
      </c>
      <c r="J287">
        <v>15.7310256692961</v>
      </c>
    </row>
    <row r="288" spans="1:10" x14ac:dyDescent="0.2">
      <c r="A288" t="str">
        <f t="shared" si="4"/>
        <v>2011AllSexNon-Maori25</v>
      </c>
      <c r="B288">
        <v>2011</v>
      </c>
      <c r="C288" t="s">
        <v>14</v>
      </c>
      <c r="D288" t="s">
        <v>16</v>
      </c>
      <c r="E288">
        <v>25</v>
      </c>
      <c r="F288">
        <v>45</v>
      </c>
      <c r="G288">
        <v>8.2083834956769195</v>
      </c>
      <c r="H288">
        <v>2.4</v>
      </c>
      <c r="I288">
        <v>5.80838349567692</v>
      </c>
      <c r="J288">
        <v>10.6083834956769</v>
      </c>
    </row>
    <row r="289" spans="1:10" x14ac:dyDescent="0.2">
      <c r="A289" t="str">
        <f t="shared" si="4"/>
        <v>2011FemaleAllEth21</v>
      </c>
      <c r="B289">
        <v>2011</v>
      </c>
      <c r="C289" t="s">
        <v>5</v>
      </c>
      <c r="D289" t="s">
        <v>24</v>
      </c>
      <c r="E289">
        <v>21</v>
      </c>
      <c r="F289">
        <v>3</v>
      </c>
      <c r="G289">
        <v>0.67602586925659702</v>
      </c>
      <c r="H289">
        <v>0.8</v>
      </c>
      <c r="I289">
        <v>-0.12397413074340299</v>
      </c>
      <c r="J289">
        <v>1.4760258692566</v>
      </c>
    </row>
    <row r="290" spans="1:10" x14ac:dyDescent="0.2">
      <c r="A290" t="str">
        <f t="shared" si="4"/>
        <v>2011FemaleAllEth22</v>
      </c>
      <c r="B290">
        <v>2011</v>
      </c>
      <c r="C290" t="s">
        <v>5</v>
      </c>
      <c r="D290" t="s">
        <v>24</v>
      </c>
      <c r="E290">
        <v>22</v>
      </c>
      <c r="F290">
        <v>34</v>
      </c>
      <c r="G290">
        <v>11.056551006471301</v>
      </c>
      <c r="H290">
        <v>3.7</v>
      </c>
      <c r="I290">
        <v>7.3565510064713298</v>
      </c>
      <c r="J290">
        <v>14.7565510064713</v>
      </c>
    </row>
    <row r="291" spans="1:10" x14ac:dyDescent="0.2">
      <c r="A291" t="str">
        <f t="shared" si="4"/>
        <v>2011FemaleAllEth23</v>
      </c>
      <c r="B291">
        <v>2011</v>
      </c>
      <c r="C291" t="s">
        <v>5</v>
      </c>
      <c r="D291" t="s">
        <v>24</v>
      </c>
      <c r="E291">
        <v>23</v>
      </c>
      <c r="F291">
        <v>33</v>
      </c>
      <c r="G291">
        <v>5.4831848996410999</v>
      </c>
      <c r="H291">
        <v>1.9</v>
      </c>
      <c r="I291">
        <v>3.5831848996411</v>
      </c>
      <c r="J291">
        <v>7.3831848996411003</v>
      </c>
    </row>
    <row r="292" spans="1:10" x14ac:dyDescent="0.2">
      <c r="A292" t="str">
        <f t="shared" si="4"/>
        <v>2011FemaleAllEth24</v>
      </c>
      <c r="B292">
        <v>2011</v>
      </c>
      <c r="C292" t="s">
        <v>5</v>
      </c>
      <c r="D292" t="s">
        <v>24</v>
      </c>
      <c r="E292">
        <v>24</v>
      </c>
      <c r="F292">
        <v>33</v>
      </c>
      <c r="G292">
        <v>5.7582578652567697</v>
      </c>
      <c r="H292">
        <v>2</v>
      </c>
      <c r="I292">
        <v>3.7582578652567702</v>
      </c>
      <c r="J292">
        <v>7.7582578652567697</v>
      </c>
    </row>
    <row r="293" spans="1:10" x14ac:dyDescent="0.2">
      <c r="A293" t="str">
        <f t="shared" si="4"/>
        <v>2011FemaleAllEth25</v>
      </c>
      <c r="B293">
        <v>2011</v>
      </c>
      <c r="C293" t="s">
        <v>5</v>
      </c>
      <c r="D293" t="s">
        <v>24</v>
      </c>
      <c r="E293">
        <v>25</v>
      </c>
      <c r="F293">
        <v>14</v>
      </c>
      <c r="G293">
        <v>4.4406381831446096</v>
      </c>
      <c r="H293">
        <v>2.2999999999999998</v>
      </c>
      <c r="I293">
        <v>2.1406381831446102</v>
      </c>
      <c r="J293">
        <v>6.7406381831446103</v>
      </c>
    </row>
    <row r="294" spans="1:10" x14ac:dyDescent="0.2">
      <c r="A294" t="str">
        <f t="shared" si="4"/>
        <v>2011FemaleMaori21</v>
      </c>
      <c r="B294">
        <v>2011</v>
      </c>
      <c r="C294" t="s">
        <v>5</v>
      </c>
      <c r="D294" t="s">
        <v>15</v>
      </c>
      <c r="E294">
        <v>21</v>
      </c>
      <c r="F294">
        <v>2</v>
      </c>
      <c r="G294">
        <v>1.7806267806267799</v>
      </c>
      <c r="H294">
        <v>2.5</v>
      </c>
      <c r="I294">
        <v>-0.71937321937321896</v>
      </c>
      <c r="J294">
        <v>4.2806267806267799</v>
      </c>
    </row>
    <row r="295" spans="1:10" x14ac:dyDescent="0.2">
      <c r="A295" t="str">
        <f t="shared" si="4"/>
        <v>2011FemaleMaori22</v>
      </c>
      <c r="B295">
        <v>2011</v>
      </c>
      <c r="C295" t="s">
        <v>5</v>
      </c>
      <c r="D295" t="s">
        <v>15</v>
      </c>
      <c r="E295">
        <v>22</v>
      </c>
      <c r="F295">
        <v>16</v>
      </c>
      <c r="G295">
        <v>25.412960609911099</v>
      </c>
      <c r="H295">
        <v>12.5</v>
      </c>
      <c r="I295">
        <v>12.912960609911099</v>
      </c>
      <c r="J295">
        <v>37.912960609911103</v>
      </c>
    </row>
    <row r="296" spans="1:10" x14ac:dyDescent="0.2">
      <c r="A296" t="str">
        <f t="shared" si="4"/>
        <v>2011FemaleMaori23</v>
      </c>
      <c r="B296">
        <v>2011</v>
      </c>
      <c r="C296" t="s">
        <v>5</v>
      </c>
      <c r="D296" t="s">
        <v>15</v>
      </c>
      <c r="E296">
        <v>23</v>
      </c>
      <c r="F296">
        <v>11</v>
      </c>
      <c r="G296">
        <v>12.2562674094708</v>
      </c>
      <c r="H296">
        <v>7.2</v>
      </c>
      <c r="I296">
        <v>5.0562674094707498</v>
      </c>
      <c r="J296">
        <v>19.456267409470801</v>
      </c>
    </row>
    <row r="297" spans="1:10" x14ac:dyDescent="0.2">
      <c r="A297" t="str">
        <f t="shared" si="4"/>
        <v>2011FemaleMaori24</v>
      </c>
      <c r="B297">
        <v>2011</v>
      </c>
      <c r="C297" t="s">
        <v>5</v>
      </c>
      <c r="D297" t="s">
        <v>15</v>
      </c>
      <c r="E297">
        <v>24</v>
      </c>
      <c r="F297">
        <v>3</v>
      </c>
      <c r="G297">
        <v>4.74908975779642</v>
      </c>
      <c r="H297">
        <v>5.4</v>
      </c>
      <c r="I297">
        <v>-0.65091024220357796</v>
      </c>
      <c r="J297">
        <v>10.1490897577964</v>
      </c>
    </row>
    <row r="298" spans="1:10" x14ac:dyDescent="0.2">
      <c r="A298" t="str">
        <f t="shared" si="4"/>
        <v>2011FemaleMaori25</v>
      </c>
      <c r="B298">
        <v>2011</v>
      </c>
      <c r="C298" t="s">
        <v>5</v>
      </c>
      <c r="D298" t="s">
        <v>15</v>
      </c>
      <c r="E298">
        <v>25</v>
      </c>
      <c r="F298">
        <v>0</v>
      </c>
      <c r="G298">
        <v>0</v>
      </c>
    </row>
    <row r="299" spans="1:10" x14ac:dyDescent="0.2">
      <c r="A299" t="str">
        <f t="shared" si="4"/>
        <v>2011FemaleNon-Maori21</v>
      </c>
      <c r="B299">
        <v>2011</v>
      </c>
      <c r="C299" t="s">
        <v>5</v>
      </c>
      <c r="D299" t="s">
        <v>16</v>
      </c>
      <c r="E299">
        <v>21</v>
      </c>
      <c r="F299">
        <v>1</v>
      </c>
      <c r="G299">
        <v>0.30170463116608798</v>
      </c>
      <c r="H299">
        <v>0.6</v>
      </c>
      <c r="I299">
        <v>-0.298295368833912</v>
      </c>
      <c r="J299">
        <v>0.90170463116608801</v>
      </c>
    </row>
    <row r="300" spans="1:10" x14ac:dyDescent="0.2">
      <c r="A300" t="str">
        <f t="shared" si="4"/>
        <v>2011FemaleNon-Maori22</v>
      </c>
      <c r="B300">
        <v>2011</v>
      </c>
      <c r="C300" t="s">
        <v>5</v>
      </c>
      <c r="D300" t="s">
        <v>16</v>
      </c>
      <c r="E300">
        <v>22</v>
      </c>
      <c r="F300">
        <v>18</v>
      </c>
      <c r="G300">
        <v>7.3604579840523403</v>
      </c>
      <c r="H300">
        <v>3.4</v>
      </c>
      <c r="I300">
        <v>3.96045798405234</v>
      </c>
      <c r="J300">
        <v>10.7604579840523</v>
      </c>
    </row>
    <row r="301" spans="1:10" x14ac:dyDescent="0.2">
      <c r="A301" t="str">
        <f t="shared" si="4"/>
        <v>2011FemaleNon-Maori23</v>
      </c>
      <c r="B301">
        <v>2011</v>
      </c>
      <c r="C301" t="s">
        <v>5</v>
      </c>
      <c r="D301" t="s">
        <v>16</v>
      </c>
      <c r="E301">
        <v>23</v>
      </c>
      <c r="F301">
        <v>22</v>
      </c>
      <c r="G301">
        <v>4.2961198226874204</v>
      </c>
      <c r="H301">
        <v>1.8</v>
      </c>
      <c r="I301">
        <v>2.4961198226874202</v>
      </c>
      <c r="J301">
        <v>6.0961198226874203</v>
      </c>
    </row>
    <row r="302" spans="1:10" x14ac:dyDescent="0.2">
      <c r="A302" t="str">
        <f t="shared" si="4"/>
        <v>2011FemaleNon-Maori24</v>
      </c>
      <c r="B302">
        <v>2011</v>
      </c>
      <c r="C302" t="s">
        <v>5</v>
      </c>
      <c r="D302" t="s">
        <v>16</v>
      </c>
      <c r="E302">
        <v>24</v>
      </c>
      <c r="F302">
        <v>30</v>
      </c>
      <c r="G302">
        <v>5.8832758079698797</v>
      </c>
      <c r="H302">
        <v>2.1</v>
      </c>
      <c r="I302">
        <v>3.7832758079698801</v>
      </c>
      <c r="J302">
        <v>7.9832758079698802</v>
      </c>
    </row>
    <row r="303" spans="1:10" x14ac:dyDescent="0.2">
      <c r="A303" t="str">
        <f t="shared" si="4"/>
        <v>2011FemaleNon-Maori25</v>
      </c>
      <c r="B303">
        <v>2011</v>
      </c>
      <c r="C303" t="s">
        <v>5</v>
      </c>
      <c r="D303" t="s">
        <v>16</v>
      </c>
      <c r="E303">
        <v>25</v>
      </c>
      <c r="F303">
        <v>14</v>
      </c>
      <c r="G303">
        <v>4.70540785803112</v>
      </c>
      <c r="H303">
        <v>2.5</v>
      </c>
      <c r="I303">
        <v>2.20540785803112</v>
      </c>
      <c r="J303">
        <v>7.20540785803112</v>
      </c>
    </row>
    <row r="304" spans="1:10" x14ac:dyDescent="0.2">
      <c r="A304" t="str">
        <f t="shared" si="4"/>
        <v>2011MaleAllEth21</v>
      </c>
      <c r="B304">
        <v>2011</v>
      </c>
      <c r="C304" t="s">
        <v>17</v>
      </c>
      <c r="D304" t="s">
        <v>24</v>
      </c>
      <c r="E304">
        <v>21</v>
      </c>
      <c r="F304">
        <v>3</v>
      </c>
      <c r="G304">
        <v>0.64278368186492996</v>
      </c>
      <c r="H304">
        <v>0.7</v>
      </c>
      <c r="I304">
        <v>-5.72163181350702E-2</v>
      </c>
      <c r="J304">
        <v>1.3427836818649299</v>
      </c>
    </row>
    <row r="305" spans="1:10" x14ac:dyDescent="0.2">
      <c r="A305" t="str">
        <f t="shared" si="4"/>
        <v>2011MaleAllEth22</v>
      </c>
      <c r="B305">
        <v>2011</v>
      </c>
      <c r="C305" t="s">
        <v>17</v>
      </c>
      <c r="D305" t="s">
        <v>24</v>
      </c>
      <c r="E305">
        <v>22</v>
      </c>
      <c r="F305">
        <v>96</v>
      </c>
      <c r="G305">
        <v>30.454920373072799</v>
      </c>
      <c r="H305">
        <v>6.1</v>
      </c>
      <c r="I305">
        <v>24.354920373072801</v>
      </c>
      <c r="J305">
        <v>36.554920373072797</v>
      </c>
    </row>
    <row r="306" spans="1:10" x14ac:dyDescent="0.2">
      <c r="A306" t="str">
        <f t="shared" si="4"/>
        <v>2011MaleAllEth23</v>
      </c>
      <c r="B306">
        <v>2011</v>
      </c>
      <c r="C306" t="s">
        <v>17</v>
      </c>
      <c r="D306" t="s">
        <v>24</v>
      </c>
      <c r="E306">
        <v>23</v>
      </c>
      <c r="F306">
        <v>130</v>
      </c>
      <c r="G306">
        <v>23.499213680157599</v>
      </c>
      <c r="H306">
        <v>4</v>
      </c>
      <c r="I306">
        <v>19.499213680157599</v>
      </c>
      <c r="J306">
        <v>27.499213680157599</v>
      </c>
    </row>
    <row r="307" spans="1:10" x14ac:dyDescent="0.2">
      <c r="A307" t="str">
        <f t="shared" si="4"/>
        <v>2011MaleAllEth24</v>
      </c>
      <c r="B307">
        <v>2011</v>
      </c>
      <c r="C307" t="s">
        <v>17</v>
      </c>
      <c r="D307" t="s">
        <v>24</v>
      </c>
      <c r="E307">
        <v>24</v>
      </c>
      <c r="F307">
        <v>117</v>
      </c>
      <c r="G307">
        <v>21.4970786021387</v>
      </c>
      <c r="H307">
        <v>3.9</v>
      </c>
      <c r="I307">
        <v>17.597078602138701</v>
      </c>
      <c r="J307">
        <v>25.397078602138698</v>
      </c>
    </row>
    <row r="308" spans="1:10" x14ac:dyDescent="0.2">
      <c r="A308" t="str">
        <f t="shared" si="4"/>
        <v>2011MaleAllEth25</v>
      </c>
      <c r="B308">
        <v>2011</v>
      </c>
      <c r="C308" t="s">
        <v>17</v>
      </c>
      <c r="D308" t="s">
        <v>24</v>
      </c>
      <c r="E308">
        <v>25</v>
      </c>
      <c r="F308">
        <v>31</v>
      </c>
      <c r="G308">
        <v>11.676082862523501</v>
      </c>
      <c r="H308">
        <v>4.0999999999999996</v>
      </c>
      <c r="I308">
        <v>7.5760828625235401</v>
      </c>
      <c r="J308">
        <v>15.7760828625235</v>
      </c>
    </row>
    <row r="309" spans="1:10" x14ac:dyDescent="0.2">
      <c r="A309" t="str">
        <f t="shared" si="4"/>
        <v>2011MaleMaori21</v>
      </c>
      <c r="B309">
        <v>2011</v>
      </c>
      <c r="C309" t="s">
        <v>17</v>
      </c>
      <c r="D309" t="s">
        <v>15</v>
      </c>
      <c r="E309">
        <v>21</v>
      </c>
      <c r="F309">
        <v>2</v>
      </c>
      <c r="G309">
        <v>1.68406871000337</v>
      </c>
      <c r="H309">
        <v>2.2999999999999998</v>
      </c>
      <c r="I309">
        <v>-0.61593128999663205</v>
      </c>
      <c r="J309">
        <v>3.98406871000337</v>
      </c>
    </row>
    <row r="310" spans="1:10" x14ac:dyDescent="0.2">
      <c r="A310" t="str">
        <f t="shared" si="4"/>
        <v>2011MaleMaori22</v>
      </c>
      <c r="B310">
        <v>2011</v>
      </c>
      <c r="C310" t="s">
        <v>17</v>
      </c>
      <c r="D310" t="s">
        <v>15</v>
      </c>
      <c r="E310">
        <v>22</v>
      </c>
      <c r="F310">
        <v>33</v>
      </c>
      <c r="G310">
        <v>53.519299383717197</v>
      </c>
      <c r="H310">
        <v>18.3</v>
      </c>
      <c r="I310">
        <v>35.2192993837172</v>
      </c>
      <c r="J310">
        <v>71.819299383717194</v>
      </c>
    </row>
    <row r="311" spans="1:10" x14ac:dyDescent="0.2">
      <c r="A311" t="str">
        <f t="shared" si="4"/>
        <v>2011MaleMaori23</v>
      </c>
      <c r="B311">
        <v>2011</v>
      </c>
      <c r="C311" t="s">
        <v>17</v>
      </c>
      <c r="D311" t="s">
        <v>15</v>
      </c>
      <c r="E311">
        <v>23</v>
      </c>
      <c r="F311">
        <v>33</v>
      </c>
      <c r="G311">
        <v>42.411001156663701</v>
      </c>
      <c r="H311">
        <v>14.5</v>
      </c>
      <c r="I311">
        <v>27.911001156663701</v>
      </c>
      <c r="J311">
        <v>56.911001156663701</v>
      </c>
    </row>
    <row r="312" spans="1:10" x14ac:dyDescent="0.2">
      <c r="A312" t="str">
        <f t="shared" si="4"/>
        <v>2011MaleMaori24</v>
      </c>
      <c r="B312">
        <v>2011</v>
      </c>
      <c r="C312" t="s">
        <v>17</v>
      </c>
      <c r="D312" t="s">
        <v>15</v>
      </c>
      <c r="E312">
        <v>24</v>
      </c>
      <c r="F312">
        <v>13</v>
      </c>
      <c r="G312">
        <v>23.008849557522101</v>
      </c>
      <c r="H312">
        <v>12.5</v>
      </c>
      <c r="I312">
        <v>10.508849557522099</v>
      </c>
      <c r="J312">
        <v>35.508849557522097</v>
      </c>
    </row>
    <row r="313" spans="1:10" x14ac:dyDescent="0.2">
      <c r="A313" t="str">
        <f t="shared" si="4"/>
        <v>2011MaleMaori25</v>
      </c>
      <c r="B313">
        <v>2011</v>
      </c>
      <c r="C313" t="s">
        <v>17</v>
      </c>
      <c r="D313" t="s">
        <v>15</v>
      </c>
      <c r="E313">
        <v>25</v>
      </c>
      <c r="F313">
        <v>0</v>
      </c>
      <c r="G313">
        <v>0</v>
      </c>
    </row>
    <row r="314" spans="1:10" x14ac:dyDescent="0.2">
      <c r="A314" t="str">
        <f t="shared" si="4"/>
        <v>2011MaleNon-Maori21</v>
      </c>
      <c r="B314">
        <v>2011</v>
      </c>
      <c r="C314" t="s">
        <v>17</v>
      </c>
      <c r="D314" t="s">
        <v>16</v>
      </c>
      <c r="E314">
        <v>21</v>
      </c>
      <c r="F314">
        <v>1</v>
      </c>
      <c r="G314">
        <v>0.287389355098287</v>
      </c>
      <c r="H314">
        <v>0.6</v>
      </c>
      <c r="I314">
        <v>-0.31261064490171298</v>
      </c>
      <c r="J314">
        <v>0.88738935509828698</v>
      </c>
    </row>
    <row r="315" spans="1:10" x14ac:dyDescent="0.2">
      <c r="A315" t="str">
        <f t="shared" si="4"/>
        <v>2011MaleNon-Maori22</v>
      </c>
      <c r="B315">
        <v>2011</v>
      </c>
      <c r="C315" t="s">
        <v>17</v>
      </c>
      <c r="D315" t="s">
        <v>16</v>
      </c>
      <c r="E315">
        <v>22</v>
      </c>
      <c r="F315">
        <v>63</v>
      </c>
      <c r="G315">
        <v>24.846190250828201</v>
      </c>
      <c r="H315">
        <v>6.1</v>
      </c>
      <c r="I315">
        <v>18.746190250828199</v>
      </c>
      <c r="J315">
        <v>30.946190250828199</v>
      </c>
    </row>
    <row r="316" spans="1:10" x14ac:dyDescent="0.2">
      <c r="A316" t="str">
        <f t="shared" si="4"/>
        <v>2011MaleNon-Maori23</v>
      </c>
      <c r="B316">
        <v>2011</v>
      </c>
      <c r="C316" t="s">
        <v>17</v>
      </c>
      <c r="D316" t="s">
        <v>16</v>
      </c>
      <c r="E316">
        <v>23</v>
      </c>
      <c r="F316">
        <v>97</v>
      </c>
      <c r="G316">
        <v>20.4038704249053</v>
      </c>
      <c r="H316">
        <v>4.0999999999999996</v>
      </c>
      <c r="I316">
        <v>16.303870424905298</v>
      </c>
      <c r="J316">
        <v>24.503870424905301</v>
      </c>
    </row>
    <row r="317" spans="1:10" x14ac:dyDescent="0.2">
      <c r="A317" t="str">
        <f t="shared" si="4"/>
        <v>2011MaleNon-Maori24</v>
      </c>
      <c r="B317">
        <v>2011</v>
      </c>
      <c r="C317" t="s">
        <v>17</v>
      </c>
      <c r="D317" t="s">
        <v>16</v>
      </c>
      <c r="E317">
        <v>24</v>
      </c>
      <c r="F317">
        <v>104</v>
      </c>
      <c r="G317">
        <v>21.3219616204691</v>
      </c>
      <c r="H317">
        <v>4.0999999999999996</v>
      </c>
      <c r="I317">
        <v>17.221961620469099</v>
      </c>
      <c r="J317">
        <v>25.421961620469101</v>
      </c>
    </row>
    <row r="318" spans="1:10" x14ac:dyDescent="0.2">
      <c r="A318" t="str">
        <f t="shared" si="4"/>
        <v>2011MaleNon-Maori25</v>
      </c>
      <c r="B318">
        <v>2011</v>
      </c>
      <c r="C318" t="s">
        <v>17</v>
      </c>
      <c r="D318" t="s">
        <v>16</v>
      </c>
      <c r="E318">
        <v>25</v>
      </c>
      <c r="F318">
        <v>31</v>
      </c>
      <c r="G318">
        <v>12.360939431396799</v>
      </c>
      <c r="H318">
        <v>4.4000000000000004</v>
      </c>
      <c r="I318">
        <v>7.9609394313967901</v>
      </c>
      <c r="J318">
        <v>16.7609394313968</v>
      </c>
    </row>
    <row r="319" spans="1:10" x14ac:dyDescent="0.2">
      <c r="A319" t="str">
        <f t="shared" si="4"/>
        <v>2012AllSexAllEth21</v>
      </c>
      <c r="B319">
        <v>2012</v>
      </c>
      <c r="C319" t="s">
        <v>14</v>
      </c>
      <c r="D319" t="s">
        <v>24</v>
      </c>
      <c r="E319">
        <v>21</v>
      </c>
      <c r="F319">
        <v>12</v>
      </c>
      <c r="G319">
        <v>1.3188552336571899</v>
      </c>
      <c r="H319">
        <v>0.7</v>
      </c>
      <c r="I319">
        <v>0.61885523365718598</v>
      </c>
      <c r="J319">
        <v>2.0188552336571899</v>
      </c>
    </row>
    <row r="320" spans="1:10" x14ac:dyDescent="0.2">
      <c r="A320" t="str">
        <f t="shared" si="4"/>
        <v>2012AllSexAllEth22</v>
      </c>
      <c r="B320">
        <v>2012</v>
      </c>
      <c r="C320" t="s">
        <v>14</v>
      </c>
      <c r="D320" t="s">
        <v>24</v>
      </c>
      <c r="E320">
        <v>22</v>
      </c>
      <c r="F320">
        <v>148</v>
      </c>
      <c r="G320">
        <v>23.7019954517793</v>
      </c>
      <c r="H320">
        <v>3.8</v>
      </c>
      <c r="I320">
        <v>19.9019954517792</v>
      </c>
      <c r="J320">
        <v>27.501995451779301</v>
      </c>
    </row>
    <row r="321" spans="1:10" x14ac:dyDescent="0.2">
      <c r="A321" t="str">
        <f t="shared" si="4"/>
        <v>2012AllSexAllEth23</v>
      </c>
      <c r="B321">
        <v>2012</v>
      </c>
      <c r="C321" t="s">
        <v>14</v>
      </c>
      <c r="D321" t="s">
        <v>24</v>
      </c>
      <c r="E321">
        <v>23</v>
      </c>
      <c r="F321">
        <v>186</v>
      </c>
      <c r="G321">
        <v>16.230649749559301</v>
      </c>
      <c r="H321">
        <v>2.2999999999999998</v>
      </c>
      <c r="I321">
        <v>13.930649749559301</v>
      </c>
      <c r="J321">
        <v>18.530649749559299</v>
      </c>
    </row>
    <row r="322" spans="1:10" x14ac:dyDescent="0.2">
      <c r="A322" t="str">
        <f t="shared" si="4"/>
        <v>2012AllSexAllEth24</v>
      </c>
      <c r="B322">
        <v>2012</v>
      </c>
      <c r="C322" t="s">
        <v>14</v>
      </c>
      <c r="D322" t="s">
        <v>24</v>
      </c>
      <c r="E322">
        <v>24</v>
      </c>
      <c r="F322">
        <v>147</v>
      </c>
      <c r="G322">
        <v>13.0385034991086</v>
      </c>
      <c r="H322">
        <v>2.1</v>
      </c>
      <c r="I322">
        <v>10.938503499108601</v>
      </c>
      <c r="J322">
        <v>15.1385034991086</v>
      </c>
    </row>
    <row r="323" spans="1:10" x14ac:dyDescent="0.2">
      <c r="A323" t="str">
        <f t="shared" si="4"/>
        <v>2012AllSexAllEth25</v>
      </c>
      <c r="B323">
        <v>2012</v>
      </c>
      <c r="C323" t="s">
        <v>14</v>
      </c>
      <c r="D323" t="s">
        <v>24</v>
      </c>
      <c r="E323">
        <v>25</v>
      </c>
      <c r="F323">
        <v>57</v>
      </c>
      <c r="G323">
        <v>9.4530498523997508</v>
      </c>
      <c r="H323">
        <v>2.5</v>
      </c>
      <c r="I323">
        <v>6.9530498523997499</v>
      </c>
      <c r="J323">
        <v>11.953049852399699</v>
      </c>
    </row>
    <row r="324" spans="1:10" x14ac:dyDescent="0.2">
      <c r="A324" t="str">
        <f t="shared" ref="A324:A387" si="5">B324&amp;C324&amp;D324&amp;E324</f>
        <v>2012AllSexMaori21</v>
      </c>
      <c r="B324">
        <v>2012</v>
      </c>
      <c r="C324" t="s">
        <v>14</v>
      </c>
      <c r="D324" t="s">
        <v>15</v>
      </c>
      <c r="E324">
        <v>21</v>
      </c>
      <c r="F324">
        <v>8</v>
      </c>
      <c r="G324">
        <v>3.4420445744772401</v>
      </c>
      <c r="H324">
        <v>2.4</v>
      </c>
      <c r="I324">
        <v>1.04204457447724</v>
      </c>
      <c r="J324">
        <v>5.8420445744772396</v>
      </c>
    </row>
    <row r="325" spans="1:10" x14ac:dyDescent="0.2">
      <c r="A325" t="str">
        <f t="shared" si="5"/>
        <v>2012AllSexMaori22</v>
      </c>
      <c r="B325">
        <v>2012</v>
      </c>
      <c r="C325" t="s">
        <v>14</v>
      </c>
      <c r="D325" t="s">
        <v>15</v>
      </c>
      <c r="E325">
        <v>22</v>
      </c>
      <c r="F325">
        <v>61</v>
      </c>
      <c r="G325">
        <v>48.389655719498698</v>
      </c>
      <c r="H325">
        <v>12.1</v>
      </c>
      <c r="I325">
        <v>36.289655719498697</v>
      </c>
      <c r="J325">
        <v>60.4896557194987</v>
      </c>
    </row>
    <row r="326" spans="1:10" x14ac:dyDescent="0.2">
      <c r="A326" t="str">
        <f t="shared" si="5"/>
        <v>2012AllSexMaori23</v>
      </c>
      <c r="B326">
        <v>2012</v>
      </c>
      <c r="C326" t="s">
        <v>14</v>
      </c>
      <c r="D326" t="s">
        <v>15</v>
      </c>
      <c r="E326">
        <v>23</v>
      </c>
      <c r="F326">
        <v>39</v>
      </c>
      <c r="G326">
        <v>23.2641374373658</v>
      </c>
      <c r="H326">
        <v>7.3</v>
      </c>
      <c r="I326">
        <v>15.9641374373658</v>
      </c>
      <c r="J326">
        <v>30.564137437365801</v>
      </c>
    </row>
    <row r="327" spans="1:10" x14ac:dyDescent="0.2">
      <c r="A327" t="str">
        <f t="shared" si="5"/>
        <v>2012AllSexMaori24</v>
      </c>
      <c r="B327">
        <v>2012</v>
      </c>
      <c r="C327" t="s">
        <v>14</v>
      </c>
      <c r="D327" t="s">
        <v>15</v>
      </c>
      <c r="E327">
        <v>24</v>
      </c>
      <c r="F327">
        <v>10</v>
      </c>
      <c r="G327">
        <v>8.08865162177465</v>
      </c>
      <c r="H327">
        <v>5</v>
      </c>
      <c r="I327">
        <v>3.08865162177465</v>
      </c>
      <c r="J327">
        <v>13.0886516217747</v>
      </c>
    </row>
    <row r="328" spans="1:10" x14ac:dyDescent="0.2">
      <c r="A328" t="str">
        <f t="shared" si="5"/>
        <v>2012AllSexMaori25</v>
      </c>
      <c r="B328">
        <v>2012</v>
      </c>
      <c r="C328" t="s">
        <v>14</v>
      </c>
      <c r="D328" t="s">
        <v>15</v>
      </c>
      <c r="E328">
        <v>25</v>
      </c>
      <c r="F328">
        <v>1</v>
      </c>
      <c r="G328">
        <v>2.9103608847497102</v>
      </c>
      <c r="H328">
        <v>5.7</v>
      </c>
      <c r="I328">
        <v>-2.78963911525029</v>
      </c>
      <c r="J328">
        <v>8.61036088474971</v>
      </c>
    </row>
    <row r="329" spans="1:10" x14ac:dyDescent="0.2">
      <c r="A329" t="str">
        <f t="shared" si="5"/>
        <v>2012AllSexNon-Maori21</v>
      </c>
      <c r="B329">
        <v>2012</v>
      </c>
      <c r="C329" t="s">
        <v>14</v>
      </c>
      <c r="D329" t="s">
        <v>16</v>
      </c>
      <c r="E329">
        <v>21</v>
      </c>
      <c r="F329">
        <v>4</v>
      </c>
      <c r="G329">
        <v>0.59044076403034895</v>
      </c>
      <c r="H329">
        <v>0.6</v>
      </c>
      <c r="I329">
        <v>-9.5592359696513602E-3</v>
      </c>
      <c r="J329">
        <v>1.19044076403035</v>
      </c>
    </row>
    <row r="330" spans="1:10" x14ac:dyDescent="0.2">
      <c r="A330" t="str">
        <f t="shared" si="5"/>
        <v>2012AllSexNon-Maori22</v>
      </c>
      <c r="B330">
        <v>2012</v>
      </c>
      <c r="C330" t="s">
        <v>14</v>
      </c>
      <c r="D330" t="s">
        <v>16</v>
      </c>
      <c r="E330">
        <v>22</v>
      </c>
      <c r="F330">
        <v>87</v>
      </c>
      <c r="G330">
        <v>17.457259812183999</v>
      </c>
      <c r="H330">
        <v>3.7</v>
      </c>
      <c r="I330">
        <v>13.757259812184</v>
      </c>
      <c r="J330">
        <v>21.157259812184002</v>
      </c>
    </row>
    <row r="331" spans="1:10" x14ac:dyDescent="0.2">
      <c r="A331" t="str">
        <f t="shared" si="5"/>
        <v>2012AllSexNon-Maori23</v>
      </c>
      <c r="B331">
        <v>2012</v>
      </c>
      <c r="C331" t="s">
        <v>14</v>
      </c>
      <c r="D331" t="s">
        <v>16</v>
      </c>
      <c r="E331">
        <v>23</v>
      </c>
      <c r="F331">
        <v>147</v>
      </c>
      <c r="G331">
        <v>15.025451274608001</v>
      </c>
      <c r="H331">
        <v>2.4</v>
      </c>
      <c r="I331">
        <v>12.625451274608</v>
      </c>
      <c r="J331">
        <v>17.425451274608001</v>
      </c>
    </row>
    <row r="332" spans="1:10" x14ac:dyDescent="0.2">
      <c r="A332" t="str">
        <f t="shared" si="5"/>
        <v>2012AllSexNon-Maori24</v>
      </c>
      <c r="B332">
        <v>2012</v>
      </c>
      <c r="C332" t="s">
        <v>14</v>
      </c>
      <c r="D332" t="s">
        <v>16</v>
      </c>
      <c r="E332">
        <v>24</v>
      </c>
      <c r="F332">
        <v>137</v>
      </c>
      <c r="G332">
        <v>13.648137079099399</v>
      </c>
      <c r="H332">
        <v>2.2999999999999998</v>
      </c>
      <c r="I332">
        <v>11.3481370790994</v>
      </c>
      <c r="J332">
        <v>15.9481370790994</v>
      </c>
    </row>
    <row r="333" spans="1:10" x14ac:dyDescent="0.2">
      <c r="A333" t="str">
        <f t="shared" si="5"/>
        <v>2012AllSexNon-Maori25</v>
      </c>
      <c r="B333">
        <v>2012</v>
      </c>
      <c r="C333" t="s">
        <v>14</v>
      </c>
      <c r="D333" t="s">
        <v>16</v>
      </c>
      <c r="E333">
        <v>25</v>
      </c>
      <c r="F333">
        <v>56</v>
      </c>
      <c r="G333">
        <v>9.8484049101333095</v>
      </c>
      <c r="H333">
        <v>2.6</v>
      </c>
      <c r="I333">
        <v>7.2484049101333099</v>
      </c>
      <c r="J333">
        <v>12.4484049101333</v>
      </c>
    </row>
    <row r="334" spans="1:10" x14ac:dyDescent="0.2">
      <c r="A334" t="str">
        <f t="shared" si="5"/>
        <v>2012FemaleAllEth21</v>
      </c>
      <c r="B334">
        <v>2012</v>
      </c>
      <c r="C334" t="s">
        <v>5</v>
      </c>
      <c r="D334" t="s">
        <v>24</v>
      </c>
      <c r="E334">
        <v>21</v>
      </c>
      <c r="F334">
        <v>5</v>
      </c>
      <c r="G334">
        <v>1.1277517141826101</v>
      </c>
      <c r="H334">
        <v>1</v>
      </c>
      <c r="I334">
        <v>0.127751714182605</v>
      </c>
      <c r="J334">
        <v>2.1277517141826099</v>
      </c>
    </row>
    <row r="335" spans="1:10" x14ac:dyDescent="0.2">
      <c r="A335" t="str">
        <f t="shared" si="5"/>
        <v>2012FemaleAllEth22</v>
      </c>
      <c r="B335">
        <v>2012</v>
      </c>
      <c r="C335" t="s">
        <v>5</v>
      </c>
      <c r="D335" t="s">
        <v>24</v>
      </c>
      <c r="E335">
        <v>22</v>
      </c>
      <c r="F335">
        <v>41</v>
      </c>
      <c r="G335">
        <v>13.3238008579228</v>
      </c>
      <c r="H335">
        <v>4.0999999999999996</v>
      </c>
      <c r="I335">
        <v>9.2238008579227895</v>
      </c>
      <c r="J335">
        <v>17.423800857922799</v>
      </c>
    </row>
    <row r="336" spans="1:10" x14ac:dyDescent="0.2">
      <c r="A336" t="str">
        <f t="shared" si="5"/>
        <v>2012FemaleAllEth23</v>
      </c>
      <c r="B336">
        <v>2012</v>
      </c>
      <c r="C336" t="s">
        <v>5</v>
      </c>
      <c r="D336" t="s">
        <v>24</v>
      </c>
      <c r="E336">
        <v>23</v>
      </c>
      <c r="F336">
        <v>43</v>
      </c>
      <c r="G336">
        <v>7.1972550004184503</v>
      </c>
      <c r="H336">
        <v>2.2000000000000002</v>
      </c>
      <c r="I336">
        <v>4.9972550004184502</v>
      </c>
      <c r="J336">
        <v>9.3972550004184505</v>
      </c>
    </row>
    <row r="337" spans="1:10" x14ac:dyDescent="0.2">
      <c r="A337" t="str">
        <f t="shared" si="5"/>
        <v>2012FemaleAllEth24</v>
      </c>
      <c r="B337">
        <v>2012</v>
      </c>
      <c r="C337" t="s">
        <v>5</v>
      </c>
      <c r="D337" t="s">
        <v>24</v>
      </c>
      <c r="E337">
        <v>24</v>
      </c>
      <c r="F337">
        <v>42</v>
      </c>
      <c r="G337">
        <v>7.2452517724990901</v>
      </c>
      <c r="H337">
        <v>2.2000000000000002</v>
      </c>
      <c r="I337">
        <v>5.04525177249909</v>
      </c>
      <c r="J337">
        <v>9.4452517724990894</v>
      </c>
    </row>
    <row r="338" spans="1:10" x14ac:dyDescent="0.2">
      <c r="A338" t="str">
        <f t="shared" si="5"/>
        <v>2012FemaleAllEth25</v>
      </c>
      <c r="B338">
        <v>2012</v>
      </c>
      <c r="C338" t="s">
        <v>5</v>
      </c>
      <c r="D338" t="s">
        <v>24</v>
      </c>
      <c r="E338">
        <v>25</v>
      </c>
      <c r="F338">
        <v>14</v>
      </c>
      <c r="G338">
        <v>4.2935565982764397</v>
      </c>
      <c r="H338">
        <v>2.2000000000000002</v>
      </c>
      <c r="I338">
        <v>2.0935565982764399</v>
      </c>
      <c r="J338">
        <v>6.4935565982764398</v>
      </c>
    </row>
    <row r="339" spans="1:10" x14ac:dyDescent="0.2">
      <c r="A339" t="str">
        <f t="shared" si="5"/>
        <v>2012FemaleMaori21</v>
      </c>
      <c r="B339">
        <v>2012</v>
      </c>
      <c r="C339" t="s">
        <v>5</v>
      </c>
      <c r="D339" t="s">
        <v>15</v>
      </c>
      <c r="E339">
        <v>21</v>
      </c>
      <c r="F339">
        <v>3</v>
      </c>
      <c r="G339">
        <v>2.6558073654390899</v>
      </c>
      <c r="H339">
        <v>3</v>
      </c>
      <c r="I339">
        <v>-0.34419263456090698</v>
      </c>
      <c r="J339">
        <v>5.6558073654390899</v>
      </c>
    </row>
    <row r="340" spans="1:10" x14ac:dyDescent="0.2">
      <c r="A340" t="str">
        <f t="shared" si="5"/>
        <v>2012FemaleMaori22</v>
      </c>
      <c r="B340">
        <v>2012</v>
      </c>
      <c r="C340" t="s">
        <v>5</v>
      </c>
      <c r="D340" t="s">
        <v>15</v>
      </c>
      <c r="E340">
        <v>22</v>
      </c>
      <c r="F340">
        <v>24</v>
      </c>
      <c r="G340">
        <v>37.7299166797673</v>
      </c>
      <c r="H340">
        <v>15.1</v>
      </c>
      <c r="I340">
        <v>22.629916679767302</v>
      </c>
      <c r="J340">
        <v>52.829916679767301</v>
      </c>
    </row>
    <row r="341" spans="1:10" x14ac:dyDescent="0.2">
      <c r="A341" t="str">
        <f t="shared" si="5"/>
        <v>2012FemaleMaori23</v>
      </c>
      <c r="B341">
        <v>2012</v>
      </c>
      <c r="C341" t="s">
        <v>5</v>
      </c>
      <c r="D341" t="s">
        <v>15</v>
      </c>
      <c r="E341">
        <v>23</v>
      </c>
      <c r="F341">
        <v>9</v>
      </c>
      <c r="G341">
        <v>9.9922282669035205</v>
      </c>
      <c r="H341">
        <v>6.5</v>
      </c>
      <c r="I341">
        <v>3.4922282669035201</v>
      </c>
      <c r="J341">
        <v>16.492228266903499</v>
      </c>
    </row>
    <row r="342" spans="1:10" x14ac:dyDescent="0.2">
      <c r="A342" t="str">
        <f t="shared" si="5"/>
        <v>2012FemaleMaori24</v>
      </c>
      <c r="B342">
        <v>2012</v>
      </c>
      <c r="C342" t="s">
        <v>5</v>
      </c>
      <c r="D342" t="s">
        <v>15</v>
      </c>
      <c r="E342">
        <v>24</v>
      </c>
      <c r="F342">
        <v>1</v>
      </c>
      <c r="G342">
        <v>1.5299877600979199</v>
      </c>
      <c r="H342">
        <v>3</v>
      </c>
      <c r="I342">
        <v>-1.4700122399020801</v>
      </c>
      <c r="J342">
        <v>4.5299877600979199</v>
      </c>
    </row>
    <row r="343" spans="1:10" x14ac:dyDescent="0.2">
      <c r="A343" t="str">
        <f t="shared" si="5"/>
        <v>2012FemaleMaori25</v>
      </c>
      <c r="B343">
        <v>2012</v>
      </c>
      <c r="C343" t="s">
        <v>5</v>
      </c>
      <c r="D343" t="s">
        <v>15</v>
      </c>
      <c r="E343">
        <v>25</v>
      </c>
      <c r="F343">
        <v>0</v>
      </c>
      <c r="G343">
        <v>0</v>
      </c>
    </row>
    <row r="344" spans="1:10" x14ac:dyDescent="0.2">
      <c r="A344" t="str">
        <f t="shared" si="5"/>
        <v>2012FemaleNon-Maori21</v>
      </c>
      <c r="B344">
        <v>2012</v>
      </c>
      <c r="C344" t="s">
        <v>5</v>
      </c>
      <c r="D344" t="s">
        <v>16</v>
      </c>
      <c r="E344">
        <v>21</v>
      </c>
      <c r="F344">
        <v>2</v>
      </c>
      <c r="G344">
        <v>0.60532687651331696</v>
      </c>
      <c r="H344">
        <v>0.8</v>
      </c>
      <c r="I344">
        <v>-0.194673123486683</v>
      </c>
      <c r="J344">
        <v>1.40532687651332</v>
      </c>
    </row>
    <row r="345" spans="1:10" x14ac:dyDescent="0.2">
      <c r="A345" t="str">
        <f t="shared" si="5"/>
        <v>2012FemaleNon-Maori22</v>
      </c>
      <c r="B345">
        <v>2012</v>
      </c>
      <c r="C345" t="s">
        <v>5</v>
      </c>
      <c r="D345" t="s">
        <v>16</v>
      </c>
      <c r="E345">
        <v>22</v>
      </c>
      <c r="F345">
        <v>17</v>
      </c>
      <c r="G345">
        <v>6.96407357338905</v>
      </c>
      <c r="H345">
        <v>3.3</v>
      </c>
      <c r="I345">
        <v>3.6640735733890502</v>
      </c>
      <c r="J345">
        <v>10.264073573389</v>
      </c>
    </row>
    <row r="346" spans="1:10" x14ac:dyDescent="0.2">
      <c r="A346" t="str">
        <f t="shared" si="5"/>
        <v>2012FemaleNon-Maori23</v>
      </c>
      <c r="B346">
        <v>2012</v>
      </c>
      <c r="C346" t="s">
        <v>5</v>
      </c>
      <c r="D346" t="s">
        <v>16</v>
      </c>
      <c r="E346">
        <v>23</v>
      </c>
      <c r="F346">
        <v>34</v>
      </c>
      <c r="G346">
        <v>6.7010918837951801</v>
      </c>
      <c r="H346">
        <v>2.2999999999999998</v>
      </c>
      <c r="I346">
        <v>4.4010918837951802</v>
      </c>
      <c r="J346">
        <v>9.0010918837951799</v>
      </c>
    </row>
    <row r="347" spans="1:10" x14ac:dyDescent="0.2">
      <c r="A347" t="str">
        <f t="shared" si="5"/>
        <v>2012FemaleNon-Maori24</v>
      </c>
      <c r="B347">
        <v>2012</v>
      </c>
      <c r="C347" t="s">
        <v>5</v>
      </c>
      <c r="D347" t="s">
        <v>16</v>
      </c>
      <c r="E347">
        <v>24</v>
      </c>
      <c r="F347">
        <v>41</v>
      </c>
      <c r="G347">
        <v>7.9715357844185597</v>
      </c>
      <c r="H347">
        <v>2.4</v>
      </c>
      <c r="I347">
        <v>5.5715357844185602</v>
      </c>
      <c r="J347">
        <v>10.371535784418599</v>
      </c>
    </row>
    <row r="348" spans="1:10" x14ac:dyDescent="0.2">
      <c r="A348" t="str">
        <f t="shared" si="5"/>
        <v>2012FemaleNon-Maori25</v>
      </c>
      <c r="B348">
        <v>2012</v>
      </c>
      <c r="C348" t="s">
        <v>5</v>
      </c>
      <c r="D348" t="s">
        <v>16</v>
      </c>
      <c r="E348">
        <v>25</v>
      </c>
      <c r="F348">
        <v>14</v>
      </c>
      <c r="G348">
        <v>4.5559569136646196</v>
      </c>
      <c r="H348">
        <v>2.4</v>
      </c>
      <c r="I348">
        <v>2.1559569136646202</v>
      </c>
      <c r="J348">
        <v>6.95595691366462</v>
      </c>
    </row>
    <row r="349" spans="1:10" x14ac:dyDescent="0.2">
      <c r="A349" t="str">
        <f t="shared" si="5"/>
        <v>2012MaleAllEth21</v>
      </c>
      <c r="B349">
        <v>2012</v>
      </c>
      <c r="C349" t="s">
        <v>17</v>
      </c>
      <c r="D349" t="s">
        <v>24</v>
      </c>
      <c r="E349">
        <v>21</v>
      </c>
      <c r="F349">
        <v>7</v>
      </c>
      <c r="G349">
        <v>1.5005037405414701</v>
      </c>
      <c r="H349">
        <v>1.1000000000000001</v>
      </c>
      <c r="I349">
        <v>0.40050374054146798</v>
      </c>
      <c r="J349">
        <v>2.6005037405414702</v>
      </c>
    </row>
    <row r="350" spans="1:10" x14ac:dyDescent="0.2">
      <c r="A350" t="str">
        <f t="shared" si="5"/>
        <v>2012MaleAllEth22</v>
      </c>
      <c r="B350">
        <v>2012</v>
      </c>
      <c r="C350" t="s">
        <v>17</v>
      </c>
      <c r="D350" t="s">
        <v>24</v>
      </c>
      <c r="E350">
        <v>22</v>
      </c>
      <c r="F350">
        <v>107</v>
      </c>
      <c r="G350">
        <v>33.785917271866097</v>
      </c>
      <c r="H350">
        <v>6.4</v>
      </c>
      <c r="I350">
        <v>27.385917271866099</v>
      </c>
      <c r="J350">
        <v>40.185917271866103</v>
      </c>
    </row>
    <row r="351" spans="1:10" x14ac:dyDescent="0.2">
      <c r="A351" t="str">
        <f t="shared" si="5"/>
        <v>2012MaleAllEth23</v>
      </c>
      <c r="B351">
        <v>2012</v>
      </c>
      <c r="C351" t="s">
        <v>17</v>
      </c>
      <c r="D351" t="s">
        <v>24</v>
      </c>
      <c r="E351">
        <v>23</v>
      </c>
      <c r="F351">
        <v>143</v>
      </c>
      <c r="G351">
        <v>26.0701524101218</v>
      </c>
      <c r="H351">
        <v>4.3</v>
      </c>
      <c r="I351">
        <v>21.770152410121799</v>
      </c>
      <c r="J351">
        <v>30.370152410121801</v>
      </c>
    </row>
    <row r="352" spans="1:10" x14ac:dyDescent="0.2">
      <c r="A352" t="str">
        <f t="shared" si="5"/>
        <v>2012MaleAllEth24</v>
      </c>
      <c r="B352">
        <v>2012</v>
      </c>
      <c r="C352" t="s">
        <v>17</v>
      </c>
      <c r="D352" t="s">
        <v>24</v>
      </c>
      <c r="E352">
        <v>24</v>
      </c>
      <c r="F352">
        <v>105</v>
      </c>
      <c r="G352">
        <v>19.170029028901101</v>
      </c>
      <c r="H352">
        <v>3.7</v>
      </c>
      <c r="I352">
        <v>15.4700290289011</v>
      </c>
      <c r="J352">
        <v>22.870029028901101</v>
      </c>
    </row>
    <row r="353" spans="1:10" x14ac:dyDescent="0.2">
      <c r="A353" t="str">
        <f t="shared" si="5"/>
        <v>2012MaleAllEth25</v>
      </c>
      <c r="B353">
        <v>2012</v>
      </c>
      <c r="C353" t="s">
        <v>17</v>
      </c>
      <c r="D353" t="s">
        <v>24</v>
      </c>
      <c r="E353">
        <v>25</v>
      </c>
      <c r="F353">
        <v>43</v>
      </c>
      <c r="G353">
        <v>15.527389593038</v>
      </c>
      <c r="H353">
        <v>4.5999999999999996</v>
      </c>
      <c r="I353">
        <v>10.927389593038001</v>
      </c>
      <c r="J353">
        <v>20.127389593038</v>
      </c>
    </row>
    <row r="354" spans="1:10" x14ac:dyDescent="0.2">
      <c r="A354" t="str">
        <f t="shared" si="5"/>
        <v>2012MaleMaori21</v>
      </c>
      <c r="B354">
        <v>2012</v>
      </c>
      <c r="C354" t="s">
        <v>17</v>
      </c>
      <c r="D354" t="s">
        <v>15</v>
      </c>
      <c r="E354">
        <v>21</v>
      </c>
      <c r="F354">
        <v>5</v>
      </c>
      <c r="G354">
        <v>4.1858518208455404</v>
      </c>
      <c r="H354">
        <v>3.7</v>
      </c>
      <c r="I354">
        <v>0.48585182084554202</v>
      </c>
      <c r="J354">
        <v>7.8858518208455397</v>
      </c>
    </row>
    <row r="355" spans="1:10" x14ac:dyDescent="0.2">
      <c r="A355" t="str">
        <f t="shared" si="5"/>
        <v>2012MaleMaori22</v>
      </c>
      <c r="B355">
        <v>2012</v>
      </c>
      <c r="C355" t="s">
        <v>17</v>
      </c>
      <c r="D355" t="s">
        <v>15</v>
      </c>
      <c r="E355">
        <v>22</v>
      </c>
      <c r="F355">
        <v>37</v>
      </c>
      <c r="G355">
        <v>59.247397918334698</v>
      </c>
      <c r="H355">
        <v>19.100000000000001</v>
      </c>
      <c r="I355">
        <v>40.147397918334697</v>
      </c>
      <c r="J355">
        <v>78.347397918334707</v>
      </c>
    </row>
    <row r="356" spans="1:10" x14ac:dyDescent="0.2">
      <c r="A356" t="str">
        <f t="shared" si="5"/>
        <v>2012MaleMaori23</v>
      </c>
      <c r="B356">
        <v>2012</v>
      </c>
      <c r="C356" t="s">
        <v>17</v>
      </c>
      <c r="D356" t="s">
        <v>15</v>
      </c>
      <c r="E356">
        <v>23</v>
      </c>
      <c r="F356">
        <v>30</v>
      </c>
      <c r="G356">
        <v>38.669760247486501</v>
      </c>
      <c r="H356">
        <v>13.8</v>
      </c>
      <c r="I356">
        <v>24.8697602474865</v>
      </c>
      <c r="J356">
        <v>52.469760247486498</v>
      </c>
    </row>
    <row r="357" spans="1:10" x14ac:dyDescent="0.2">
      <c r="A357" t="str">
        <f t="shared" si="5"/>
        <v>2012MaleMaori24</v>
      </c>
      <c r="B357">
        <v>2012</v>
      </c>
      <c r="C357" t="s">
        <v>17</v>
      </c>
      <c r="D357" t="s">
        <v>15</v>
      </c>
      <c r="E357">
        <v>24</v>
      </c>
      <c r="F357">
        <v>9</v>
      </c>
      <c r="G357">
        <v>15.442690459849</v>
      </c>
      <c r="H357">
        <v>10.1</v>
      </c>
      <c r="I357">
        <v>5.3426904598489999</v>
      </c>
      <c r="J357">
        <v>25.542690459848998</v>
      </c>
    </row>
    <row r="358" spans="1:10" x14ac:dyDescent="0.2">
      <c r="A358" t="str">
        <f t="shared" si="5"/>
        <v>2012MaleMaori25</v>
      </c>
      <c r="B358">
        <v>2012</v>
      </c>
      <c r="C358" t="s">
        <v>17</v>
      </c>
      <c r="D358" t="s">
        <v>15</v>
      </c>
      <c r="E358">
        <v>25</v>
      </c>
      <c r="F358">
        <v>1</v>
      </c>
      <c r="G358">
        <v>6.4184852374839503</v>
      </c>
      <c r="H358">
        <v>12.6</v>
      </c>
      <c r="I358">
        <v>-6.1815147625160503</v>
      </c>
      <c r="J358">
        <v>19.018485237484001</v>
      </c>
    </row>
    <row r="359" spans="1:10" x14ac:dyDescent="0.2">
      <c r="A359" t="str">
        <f t="shared" si="5"/>
        <v>2012MaleNon-Maori21</v>
      </c>
      <c r="B359">
        <v>2012</v>
      </c>
      <c r="C359" t="s">
        <v>17</v>
      </c>
      <c r="D359" t="s">
        <v>16</v>
      </c>
      <c r="E359">
        <v>21</v>
      </c>
      <c r="F359">
        <v>2</v>
      </c>
      <c r="G359">
        <v>0.57626923298565103</v>
      </c>
      <c r="H359">
        <v>0.8</v>
      </c>
      <c r="I359">
        <v>-0.22373076701434899</v>
      </c>
      <c r="J359">
        <v>1.3762692329856501</v>
      </c>
    </row>
    <row r="360" spans="1:10" x14ac:dyDescent="0.2">
      <c r="A360" t="str">
        <f t="shared" si="5"/>
        <v>2012MaleNon-Maori22</v>
      </c>
      <c r="B360">
        <v>2012</v>
      </c>
      <c r="C360" t="s">
        <v>17</v>
      </c>
      <c r="D360" t="s">
        <v>16</v>
      </c>
      <c r="E360">
        <v>22</v>
      </c>
      <c r="F360">
        <v>70</v>
      </c>
      <c r="G360">
        <v>27.5319567354966</v>
      </c>
      <c r="H360">
        <v>6.4</v>
      </c>
      <c r="I360">
        <v>21.131956735496601</v>
      </c>
      <c r="J360">
        <v>33.931956735496598</v>
      </c>
    </row>
    <row r="361" spans="1:10" x14ac:dyDescent="0.2">
      <c r="A361" t="str">
        <f t="shared" si="5"/>
        <v>2012MaleNon-Maori23</v>
      </c>
      <c r="B361">
        <v>2012</v>
      </c>
      <c r="C361" t="s">
        <v>17</v>
      </c>
      <c r="D361" t="s">
        <v>16</v>
      </c>
      <c r="E361">
        <v>23</v>
      </c>
      <c r="F361">
        <v>113</v>
      </c>
      <c r="G361">
        <v>23.994564063362599</v>
      </c>
      <c r="H361">
        <v>4.4000000000000004</v>
      </c>
      <c r="I361">
        <v>19.594564063362601</v>
      </c>
      <c r="J361">
        <v>28.394564063362601</v>
      </c>
    </row>
    <row r="362" spans="1:10" x14ac:dyDescent="0.2">
      <c r="A362" t="str">
        <f t="shared" si="5"/>
        <v>2012MaleNon-Maori24</v>
      </c>
      <c r="B362">
        <v>2012</v>
      </c>
      <c r="C362" t="s">
        <v>17</v>
      </c>
      <c r="D362" t="s">
        <v>16</v>
      </c>
      <c r="E362">
        <v>24</v>
      </c>
      <c r="F362">
        <v>96</v>
      </c>
      <c r="G362">
        <v>19.613852283175</v>
      </c>
      <c r="H362">
        <v>3.9</v>
      </c>
      <c r="I362">
        <v>15.713852283174999</v>
      </c>
      <c r="J362">
        <v>23.513852283175002</v>
      </c>
    </row>
    <row r="363" spans="1:10" x14ac:dyDescent="0.2">
      <c r="A363" t="str">
        <f t="shared" si="5"/>
        <v>2012MaleNon-Maori25</v>
      </c>
      <c r="B363">
        <v>2012</v>
      </c>
      <c r="C363" t="s">
        <v>17</v>
      </c>
      <c r="D363" t="s">
        <v>16</v>
      </c>
      <c r="E363">
        <v>25</v>
      </c>
      <c r="F363">
        <v>42</v>
      </c>
      <c r="G363">
        <v>16.070403673235099</v>
      </c>
      <c r="H363">
        <v>4.9000000000000004</v>
      </c>
      <c r="I363">
        <v>11.1704036732351</v>
      </c>
      <c r="J363">
        <v>20.970403673235101</v>
      </c>
    </row>
    <row r="364" spans="1:10" x14ac:dyDescent="0.2">
      <c r="A364" t="str">
        <f t="shared" si="5"/>
        <v>2013AllSexAllEth21</v>
      </c>
      <c r="B364">
        <v>2013</v>
      </c>
      <c r="C364" t="s">
        <v>14</v>
      </c>
      <c r="D364" t="s">
        <v>24</v>
      </c>
      <c r="E364">
        <v>21</v>
      </c>
      <c r="F364">
        <v>2</v>
      </c>
      <c r="G364">
        <v>0.22000748025432901</v>
      </c>
      <c r="H364">
        <v>0.3</v>
      </c>
      <c r="I364">
        <v>-7.9992519745671398E-2</v>
      </c>
      <c r="J364">
        <v>0.52000748025432897</v>
      </c>
    </row>
    <row r="365" spans="1:10" x14ac:dyDescent="0.2">
      <c r="A365" t="str">
        <f t="shared" si="5"/>
        <v>2013AllSexAllEth22</v>
      </c>
      <c r="B365">
        <v>2013</v>
      </c>
      <c r="C365" t="s">
        <v>14</v>
      </c>
      <c r="D365" t="s">
        <v>24</v>
      </c>
      <c r="E365">
        <v>22</v>
      </c>
      <c r="F365">
        <v>111</v>
      </c>
      <c r="G365">
        <v>17.659692944077602</v>
      </c>
      <c r="H365">
        <v>3.3</v>
      </c>
      <c r="I365">
        <v>14.359692944077601</v>
      </c>
      <c r="J365">
        <v>20.959692944077599</v>
      </c>
    </row>
    <row r="366" spans="1:10" x14ac:dyDescent="0.2">
      <c r="A366" t="str">
        <f t="shared" si="5"/>
        <v>2013AllSexAllEth23</v>
      </c>
      <c r="B366">
        <v>2013</v>
      </c>
      <c r="C366" t="s">
        <v>14</v>
      </c>
      <c r="D366" t="s">
        <v>24</v>
      </c>
      <c r="E366">
        <v>23</v>
      </c>
      <c r="F366">
        <v>161</v>
      </c>
      <c r="G366">
        <v>14.073795641494099</v>
      </c>
      <c r="H366">
        <v>2.2000000000000002</v>
      </c>
      <c r="I366">
        <v>11.8737956414941</v>
      </c>
      <c r="J366">
        <v>16.2737956414941</v>
      </c>
    </row>
    <row r="367" spans="1:10" x14ac:dyDescent="0.2">
      <c r="A367" t="str">
        <f t="shared" si="5"/>
        <v>2013AllSexAllEth24</v>
      </c>
      <c r="B367">
        <v>2013</v>
      </c>
      <c r="C367" t="s">
        <v>14</v>
      </c>
      <c r="D367" t="s">
        <v>24</v>
      </c>
      <c r="E367">
        <v>24</v>
      </c>
      <c r="F367">
        <v>183</v>
      </c>
      <c r="G367">
        <v>16.0695468914647</v>
      </c>
      <c r="H367">
        <v>2.2999999999999998</v>
      </c>
      <c r="I367">
        <v>13.769546891464699</v>
      </c>
      <c r="J367">
        <v>18.369546891464701</v>
      </c>
    </row>
    <row r="368" spans="1:10" x14ac:dyDescent="0.2">
      <c r="A368" t="str">
        <f t="shared" si="5"/>
        <v>2013AllSexAllEth25</v>
      </c>
      <c r="B368">
        <v>2013</v>
      </c>
      <c r="C368" t="s">
        <v>14</v>
      </c>
      <c r="D368" t="s">
        <v>24</v>
      </c>
      <c r="E368">
        <v>25</v>
      </c>
      <c r="F368">
        <v>56</v>
      </c>
      <c r="G368">
        <v>8.9415446518385995</v>
      </c>
      <c r="H368">
        <v>2.2999999999999998</v>
      </c>
      <c r="I368">
        <v>6.6415446518385997</v>
      </c>
      <c r="J368">
        <v>11.2415446518386</v>
      </c>
    </row>
    <row r="369" spans="1:10" x14ac:dyDescent="0.2">
      <c r="A369" t="str">
        <f t="shared" si="5"/>
        <v>2013AllSexMaori21</v>
      </c>
      <c r="B369">
        <v>2013</v>
      </c>
      <c r="C369" t="s">
        <v>14</v>
      </c>
      <c r="D369" t="s">
        <v>15</v>
      </c>
      <c r="E369">
        <v>21</v>
      </c>
      <c r="F369">
        <v>1</v>
      </c>
      <c r="G369">
        <v>0.42889003259564201</v>
      </c>
      <c r="H369">
        <v>0.8</v>
      </c>
      <c r="I369">
        <v>-0.37110996740435798</v>
      </c>
      <c r="J369">
        <v>1.22889003259564</v>
      </c>
    </row>
    <row r="370" spans="1:10" x14ac:dyDescent="0.2">
      <c r="A370" t="str">
        <f t="shared" si="5"/>
        <v>2013AllSexMaori22</v>
      </c>
      <c r="B370">
        <v>2013</v>
      </c>
      <c r="C370" t="s">
        <v>14</v>
      </c>
      <c r="D370" t="s">
        <v>15</v>
      </c>
      <c r="E370">
        <v>22</v>
      </c>
      <c r="F370">
        <v>49</v>
      </c>
      <c r="G370">
        <v>38.3531621790858</v>
      </c>
      <c r="H370">
        <v>10.7</v>
      </c>
      <c r="I370">
        <v>27.6531621790858</v>
      </c>
      <c r="J370">
        <v>49.053162179085803</v>
      </c>
    </row>
    <row r="371" spans="1:10" x14ac:dyDescent="0.2">
      <c r="A371" t="str">
        <f t="shared" si="5"/>
        <v>2013AllSexMaori23</v>
      </c>
      <c r="B371">
        <v>2013</v>
      </c>
      <c r="C371" t="s">
        <v>14</v>
      </c>
      <c r="D371" t="s">
        <v>15</v>
      </c>
      <c r="E371">
        <v>23</v>
      </c>
      <c r="F371">
        <v>44</v>
      </c>
      <c r="G371">
        <v>26.227944682880299</v>
      </c>
      <c r="H371">
        <v>7.7</v>
      </c>
      <c r="I371">
        <v>18.5279446828803</v>
      </c>
      <c r="J371">
        <v>33.927944682880302</v>
      </c>
    </row>
    <row r="372" spans="1:10" x14ac:dyDescent="0.2">
      <c r="A372" t="str">
        <f t="shared" si="5"/>
        <v>2013AllSexMaori24</v>
      </c>
      <c r="B372">
        <v>2013</v>
      </c>
      <c r="C372" t="s">
        <v>14</v>
      </c>
      <c r="D372" t="s">
        <v>15</v>
      </c>
      <c r="E372">
        <v>24</v>
      </c>
      <c r="F372">
        <v>10</v>
      </c>
      <c r="G372">
        <v>7.8492935635792804</v>
      </c>
      <c r="H372">
        <v>4.9000000000000004</v>
      </c>
      <c r="I372">
        <v>2.9492935635792801</v>
      </c>
      <c r="J372">
        <v>12.7492935635793</v>
      </c>
    </row>
    <row r="373" spans="1:10" x14ac:dyDescent="0.2">
      <c r="A373" t="str">
        <f t="shared" si="5"/>
        <v>2013AllSexMaori25</v>
      </c>
      <c r="B373">
        <v>2013</v>
      </c>
      <c r="C373" t="s">
        <v>14</v>
      </c>
      <c r="D373" t="s">
        <v>15</v>
      </c>
      <c r="E373">
        <v>25</v>
      </c>
      <c r="F373">
        <v>0</v>
      </c>
      <c r="G373">
        <v>0</v>
      </c>
    </row>
    <row r="374" spans="1:10" x14ac:dyDescent="0.2">
      <c r="A374" t="str">
        <f t="shared" si="5"/>
        <v>2013AllSexNon-Maori21</v>
      </c>
      <c r="B374">
        <v>2013</v>
      </c>
      <c r="C374" t="s">
        <v>14</v>
      </c>
      <c r="D374" t="s">
        <v>16</v>
      </c>
      <c r="E374">
        <v>21</v>
      </c>
      <c r="F374">
        <v>1</v>
      </c>
      <c r="G374">
        <v>0.14795088030773801</v>
      </c>
      <c r="H374">
        <v>0.3</v>
      </c>
      <c r="I374">
        <v>-0.15204911969226201</v>
      </c>
      <c r="J374">
        <v>0.447950880307738</v>
      </c>
    </row>
    <row r="375" spans="1:10" x14ac:dyDescent="0.2">
      <c r="A375" t="str">
        <f t="shared" si="5"/>
        <v>2013AllSexNon-Maori22</v>
      </c>
      <c r="B375">
        <v>2013</v>
      </c>
      <c r="C375" t="s">
        <v>14</v>
      </c>
      <c r="D375" t="s">
        <v>16</v>
      </c>
      <c r="E375">
        <v>22</v>
      </c>
      <c r="F375">
        <v>62</v>
      </c>
      <c r="G375">
        <v>12.380438906527701</v>
      </c>
      <c r="H375">
        <v>3.1</v>
      </c>
      <c r="I375">
        <v>9.2804389065276904</v>
      </c>
      <c r="J375">
        <v>15.4804389065277</v>
      </c>
    </row>
    <row r="376" spans="1:10" x14ac:dyDescent="0.2">
      <c r="A376" t="str">
        <f t="shared" si="5"/>
        <v>2013AllSexNon-Maori23</v>
      </c>
      <c r="B376">
        <v>2013</v>
      </c>
      <c r="C376" t="s">
        <v>14</v>
      </c>
      <c r="D376" t="s">
        <v>16</v>
      </c>
      <c r="E376">
        <v>23</v>
      </c>
      <c r="F376">
        <v>117</v>
      </c>
      <c r="G376">
        <v>11.9851261511355</v>
      </c>
      <c r="H376">
        <v>2.2000000000000002</v>
      </c>
      <c r="I376">
        <v>9.7851261511355094</v>
      </c>
      <c r="J376">
        <v>14.185126151135499</v>
      </c>
    </row>
    <row r="377" spans="1:10" x14ac:dyDescent="0.2">
      <c r="A377" t="str">
        <f t="shared" si="5"/>
        <v>2013AllSexNon-Maori24</v>
      </c>
      <c r="B377">
        <v>2013</v>
      </c>
      <c r="C377" t="s">
        <v>14</v>
      </c>
      <c r="D377" t="s">
        <v>16</v>
      </c>
      <c r="E377">
        <v>24</v>
      </c>
      <c r="F377">
        <v>173</v>
      </c>
      <c r="G377">
        <v>17.105002966185499</v>
      </c>
      <c r="H377">
        <v>2.5</v>
      </c>
      <c r="I377">
        <v>14.6050029661855</v>
      </c>
      <c r="J377">
        <v>19.605002966185499</v>
      </c>
    </row>
    <row r="378" spans="1:10" x14ac:dyDescent="0.2">
      <c r="A378" t="str">
        <f t="shared" si="5"/>
        <v>2013AllSexNon-Maori25</v>
      </c>
      <c r="B378">
        <v>2013</v>
      </c>
      <c r="C378" t="s">
        <v>14</v>
      </c>
      <c r="D378" t="s">
        <v>16</v>
      </c>
      <c r="E378">
        <v>25</v>
      </c>
      <c r="F378">
        <v>56</v>
      </c>
      <c r="G378">
        <v>9.4941000949410004</v>
      </c>
      <c r="H378">
        <v>2.5</v>
      </c>
      <c r="I378">
        <v>6.9941000949410004</v>
      </c>
      <c r="J378">
        <v>11.994100094941</v>
      </c>
    </row>
    <row r="379" spans="1:10" x14ac:dyDescent="0.2">
      <c r="A379" t="str">
        <f t="shared" si="5"/>
        <v>2013FemaleAllEth21</v>
      </c>
      <c r="B379">
        <v>2013</v>
      </c>
      <c r="C379" t="s">
        <v>5</v>
      </c>
      <c r="D379" t="s">
        <v>24</v>
      </c>
      <c r="E379">
        <v>21</v>
      </c>
      <c r="F379">
        <v>2</v>
      </c>
      <c r="G379">
        <v>0.45149784409779398</v>
      </c>
      <c r="H379">
        <v>0.6</v>
      </c>
      <c r="I379">
        <v>-0.148502155902206</v>
      </c>
      <c r="J379">
        <v>1.05149784409779</v>
      </c>
    </row>
    <row r="380" spans="1:10" x14ac:dyDescent="0.2">
      <c r="A380" t="str">
        <f t="shared" si="5"/>
        <v>2013FemaleAllEth22</v>
      </c>
      <c r="B380">
        <v>2013</v>
      </c>
      <c r="C380" t="s">
        <v>5</v>
      </c>
      <c r="D380" t="s">
        <v>24</v>
      </c>
      <c r="E380">
        <v>22</v>
      </c>
      <c r="F380">
        <v>38</v>
      </c>
      <c r="G380">
        <v>12.3120787973043</v>
      </c>
      <c r="H380">
        <v>3.9</v>
      </c>
      <c r="I380">
        <v>8.4120787973043001</v>
      </c>
      <c r="J380">
        <v>16.212078797304301</v>
      </c>
    </row>
    <row r="381" spans="1:10" x14ac:dyDescent="0.2">
      <c r="A381" t="str">
        <f t="shared" si="5"/>
        <v>2013FemaleAllEth23</v>
      </c>
      <c r="B381">
        <v>2013</v>
      </c>
      <c r="C381" t="s">
        <v>5</v>
      </c>
      <c r="D381" t="s">
        <v>24</v>
      </c>
      <c r="E381">
        <v>23</v>
      </c>
      <c r="F381">
        <v>47</v>
      </c>
      <c r="G381">
        <v>7.8847153953262099</v>
      </c>
      <c r="H381">
        <v>2.2999999999999998</v>
      </c>
      <c r="I381">
        <v>5.5847153953262101</v>
      </c>
      <c r="J381">
        <v>10.184715395326201</v>
      </c>
    </row>
    <row r="382" spans="1:10" x14ac:dyDescent="0.2">
      <c r="A382" t="str">
        <f t="shared" si="5"/>
        <v>2013FemaleAllEth24</v>
      </c>
      <c r="B382">
        <v>2013</v>
      </c>
      <c r="C382" t="s">
        <v>5</v>
      </c>
      <c r="D382" t="s">
        <v>24</v>
      </c>
      <c r="E382">
        <v>24</v>
      </c>
      <c r="F382">
        <v>53</v>
      </c>
      <c r="G382">
        <v>9.0334236675700108</v>
      </c>
      <c r="H382">
        <v>2.4</v>
      </c>
      <c r="I382">
        <v>6.6334236675700096</v>
      </c>
      <c r="J382">
        <v>11.433423667570001</v>
      </c>
    </row>
    <row r="383" spans="1:10" x14ac:dyDescent="0.2">
      <c r="A383" t="str">
        <f t="shared" si="5"/>
        <v>2013FemaleAllEth25</v>
      </c>
      <c r="B383">
        <v>2013</v>
      </c>
      <c r="C383" t="s">
        <v>5</v>
      </c>
      <c r="D383" t="s">
        <v>24</v>
      </c>
      <c r="E383">
        <v>25</v>
      </c>
      <c r="F383">
        <v>8</v>
      </c>
      <c r="G383">
        <v>2.36987883994431</v>
      </c>
      <c r="H383">
        <v>1.6</v>
      </c>
      <c r="I383">
        <v>0.76987883994430795</v>
      </c>
      <c r="J383">
        <v>3.9698788399443101</v>
      </c>
    </row>
    <row r="384" spans="1:10" x14ac:dyDescent="0.2">
      <c r="A384" t="str">
        <f t="shared" si="5"/>
        <v>2013FemaleMaori21</v>
      </c>
      <c r="B384">
        <v>2013</v>
      </c>
      <c r="C384" t="s">
        <v>5</v>
      </c>
      <c r="D384" t="s">
        <v>15</v>
      </c>
      <c r="E384">
        <v>21</v>
      </c>
      <c r="F384">
        <v>1</v>
      </c>
      <c r="G384">
        <v>0.88269044046252998</v>
      </c>
      <c r="H384">
        <v>1.7</v>
      </c>
      <c r="I384">
        <v>-0.81730955953746998</v>
      </c>
      <c r="J384">
        <v>2.5826904404625299</v>
      </c>
    </row>
    <row r="385" spans="1:10" x14ac:dyDescent="0.2">
      <c r="A385" t="str">
        <f t="shared" si="5"/>
        <v>2013FemaleMaori22</v>
      </c>
      <c r="B385">
        <v>2013</v>
      </c>
      <c r="C385" t="s">
        <v>5</v>
      </c>
      <c r="D385" t="s">
        <v>15</v>
      </c>
      <c r="E385">
        <v>22</v>
      </c>
      <c r="F385">
        <v>20</v>
      </c>
      <c r="G385">
        <v>31.172069825436399</v>
      </c>
      <c r="H385">
        <v>13.7</v>
      </c>
      <c r="I385">
        <v>17.4720698254364</v>
      </c>
      <c r="J385">
        <v>44.872069825436398</v>
      </c>
    </row>
    <row r="386" spans="1:10" x14ac:dyDescent="0.2">
      <c r="A386" t="str">
        <f t="shared" si="5"/>
        <v>2013FemaleMaori23</v>
      </c>
      <c r="B386">
        <v>2013</v>
      </c>
      <c r="C386" t="s">
        <v>5</v>
      </c>
      <c r="D386" t="s">
        <v>15</v>
      </c>
      <c r="E386">
        <v>23</v>
      </c>
      <c r="F386">
        <v>13</v>
      </c>
      <c r="G386">
        <v>14.3662283125207</v>
      </c>
      <c r="H386">
        <v>7.8</v>
      </c>
      <c r="I386">
        <v>6.5662283125207201</v>
      </c>
      <c r="J386">
        <v>22.166228312520701</v>
      </c>
    </row>
    <row r="387" spans="1:10" x14ac:dyDescent="0.2">
      <c r="A387" t="str">
        <f t="shared" si="5"/>
        <v>2013FemaleMaori24</v>
      </c>
      <c r="B387">
        <v>2013</v>
      </c>
      <c r="C387" t="s">
        <v>5</v>
      </c>
      <c r="D387" t="s">
        <v>15</v>
      </c>
      <c r="E387">
        <v>24</v>
      </c>
      <c r="F387">
        <v>5</v>
      </c>
      <c r="G387">
        <v>7.4041166888790197</v>
      </c>
      <c r="H387">
        <v>6.5</v>
      </c>
      <c r="I387">
        <v>0.90411668887901697</v>
      </c>
      <c r="J387">
        <v>13.904116688879</v>
      </c>
    </row>
    <row r="388" spans="1:10" x14ac:dyDescent="0.2">
      <c r="A388" t="str">
        <f t="shared" ref="A388:A451" si="6">B388&amp;C388&amp;D388&amp;E388</f>
        <v>2013FemaleMaori25</v>
      </c>
      <c r="B388">
        <v>2013</v>
      </c>
      <c r="C388" t="s">
        <v>5</v>
      </c>
      <c r="D388" t="s">
        <v>15</v>
      </c>
      <c r="E388">
        <v>25</v>
      </c>
      <c r="F388">
        <v>0</v>
      </c>
      <c r="G388">
        <v>0</v>
      </c>
    </row>
    <row r="389" spans="1:10" x14ac:dyDescent="0.2">
      <c r="A389" t="str">
        <f t="shared" si="6"/>
        <v>2013FemaleNon-Maori21</v>
      </c>
      <c r="B389">
        <v>2013</v>
      </c>
      <c r="C389" t="s">
        <v>5</v>
      </c>
      <c r="D389" t="s">
        <v>16</v>
      </c>
      <c r="E389">
        <v>21</v>
      </c>
      <c r="F389">
        <v>1</v>
      </c>
      <c r="G389">
        <v>0.303324435816549</v>
      </c>
      <c r="H389">
        <v>0.6</v>
      </c>
      <c r="I389">
        <v>-0.29667556418345098</v>
      </c>
      <c r="J389">
        <v>0.90332443581654898</v>
      </c>
    </row>
    <row r="390" spans="1:10" x14ac:dyDescent="0.2">
      <c r="A390" t="str">
        <f t="shared" si="6"/>
        <v>2013FemaleNon-Maori22</v>
      </c>
      <c r="B390">
        <v>2013</v>
      </c>
      <c r="C390" t="s">
        <v>5</v>
      </c>
      <c r="D390" t="s">
        <v>16</v>
      </c>
      <c r="E390">
        <v>22</v>
      </c>
      <c r="F390">
        <v>18</v>
      </c>
      <c r="G390">
        <v>7.3625654450261804</v>
      </c>
      <c r="H390">
        <v>3.4</v>
      </c>
      <c r="I390">
        <v>3.96256544502618</v>
      </c>
      <c r="J390">
        <v>10.762565445026199</v>
      </c>
    </row>
    <row r="391" spans="1:10" x14ac:dyDescent="0.2">
      <c r="A391" t="str">
        <f t="shared" si="6"/>
        <v>2013FemaleNon-Maori23</v>
      </c>
      <c r="B391">
        <v>2013</v>
      </c>
      <c r="C391" t="s">
        <v>5</v>
      </c>
      <c r="D391" t="s">
        <v>16</v>
      </c>
      <c r="E391">
        <v>23</v>
      </c>
      <c r="F391">
        <v>34</v>
      </c>
      <c r="G391">
        <v>6.7246835443038</v>
      </c>
      <c r="H391">
        <v>2.2999999999999998</v>
      </c>
      <c r="I391">
        <v>4.4246835443038002</v>
      </c>
      <c r="J391">
        <v>9.0246835443037998</v>
      </c>
    </row>
    <row r="392" spans="1:10" x14ac:dyDescent="0.2">
      <c r="A392" t="str">
        <f t="shared" si="6"/>
        <v>2013FemaleNon-Maori24</v>
      </c>
      <c r="B392">
        <v>2013</v>
      </c>
      <c r="C392" t="s">
        <v>5</v>
      </c>
      <c r="D392" t="s">
        <v>16</v>
      </c>
      <c r="E392">
        <v>24</v>
      </c>
      <c r="F392">
        <v>48</v>
      </c>
      <c r="G392">
        <v>9.2453484340691094</v>
      </c>
      <c r="H392">
        <v>2.6</v>
      </c>
      <c r="I392">
        <v>6.6453484340691098</v>
      </c>
      <c r="J392">
        <v>11.8453484340691</v>
      </c>
    </row>
    <row r="393" spans="1:10" x14ac:dyDescent="0.2">
      <c r="A393" t="str">
        <f t="shared" si="6"/>
        <v>2013FemaleNon-Maori25</v>
      </c>
      <c r="B393">
        <v>2013</v>
      </c>
      <c r="C393" t="s">
        <v>5</v>
      </c>
      <c r="D393" t="s">
        <v>16</v>
      </c>
      <c r="E393">
        <v>25</v>
      </c>
      <c r="F393">
        <v>8</v>
      </c>
      <c r="G393">
        <v>2.5182573659027998</v>
      </c>
      <c r="H393">
        <v>1.7</v>
      </c>
      <c r="I393">
        <v>0.81825736590279496</v>
      </c>
      <c r="J393">
        <v>4.2182573659028</v>
      </c>
    </row>
    <row r="394" spans="1:10" x14ac:dyDescent="0.2">
      <c r="A394" t="str">
        <f t="shared" si="6"/>
        <v>2013MaleAllEth21</v>
      </c>
      <c r="B394">
        <v>2013</v>
      </c>
      <c r="C394" t="s">
        <v>17</v>
      </c>
      <c r="D394" t="s">
        <v>24</v>
      </c>
      <c r="E394">
        <v>21</v>
      </c>
      <c r="F394">
        <v>0</v>
      </c>
      <c r="G394">
        <v>0</v>
      </c>
    </row>
    <row r="395" spans="1:10" x14ac:dyDescent="0.2">
      <c r="A395" t="str">
        <f t="shared" si="6"/>
        <v>2013MaleAllEth22</v>
      </c>
      <c r="B395">
        <v>2013</v>
      </c>
      <c r="C395" t="s">
        <v>17</v>
      </c>
      <c r="D395" t="s">
        <v>24</v>
      </c>
      <c r="E395">
        <v>22</v>
      </c>
      <c r="F395">
        <v>73</v>
      </c>
      <c r="G395">
        <v>22.8189178206371</v>
      </c>
      <c r="H395">
        <v>5.2</v>
      </c>
      <c r="I395">
        <v>17.618917820637101</v>
      </c>
      <c r="J395">
        <v>28.0189178206371</v>
      </c>
    </row>
    <row r="396" spans="1:10" x14ac:dyDescent="0.2">
      <c r="A396" t="str">
        <f t="shared" si="6"/>
        <v>2013MaleAllEth23</v>
      </c>
      <c r="B396">
        <v>2013</v>
      </c>
      <c r="C396" t="s">
        <v>17</v>
      </c>
      <c r="D396" t="s">
        <v>24</v>
      </c>
      <c r="E396">
        <v>23</v>
      </c>
      <c r="F396">
        <v>114</v>
      </c>
      <c r="G396">
        <v>20.807476089654699</v>
      </c>
      <c r="H396">
        <v>3.8</v>
      </c>
      <c r="I396">
        <v>17.007476089654698</v>
      </c>
      <c r="J396">
        <v>24.6074760896547</v>
      </c>
    </row>
    <row r="397" spans="1:10" x14ac:dyDescent="0.2">
      <c r="A397" t="str">
        <f t="shared" si="6"/>
        <v>2013MaleAllEth24</v>
      </c>
      <c r="B397">
        <v>2013</v>
      </c>
      <c r="C397" t="s">
        <v>17</v>
      </c>
      <c r="D397" t="s">
        <v>24</v>
      </c>
      <c r="E397">
        <v>24</v>
      </c>
      <c r="F397">
        <v>130</v>
      </c>
      <c r="G397">
        <v>23.546885471571699</v>
      </c>
      <c r="H397">
        <v>4</v>
      </c>
      <c r="I397">
        <v>19.546885471571699</v>
      </c>
      <c r="J397">
        <v>27.546885471571699</v>
      </c>
    </row>
    <row r="398" spans="1:10" x14ac:dyDescent="0.2">
      <c r="A398" t="str">
        <f t="shared" si="6"/>
        <v>2013MaleAllEth25</v>
      </c>
      <c r="B398">
        <v>2013</v>
      </c>
      <c r="C398" t="s">
        <v>17</v>
      </c>
      <c r="D398" t="s">
        <v>24</v>
      </c>
      <c r="E398">
        <v>25</v>
      </c>
      <c r="F398">
        <v>48</v>
      </c>
      <c r="G398">
        <v>16.625103906899401</v>
      </c>
      <c r="H398">
        <v>4.7</v>
      </c>
      <c r="I398">
        <v>11.9251039068994</v>
      </c>
      <c r="J398">
        <v>21.3251039068994</v>
      </c>
    </row>
    <row r="399" spans="1:10" x14ac:dyDescent="0.2">
      <c r="A399" t="str">
        <f t="shared" si="6"/>
        <v>2013MaleMaori21</v>
      </c>
      <c r="B399">
        <v>2013</v>
      </c>
      <c r="C399" t="s">
        <v>17</v>
      </c>
      <c r="D399" t="s">
        <v>15</v>
      </c>
      <c r="E399">
        <v>21</v>
      </c>
      <c r="F399">
        <v>0</v>
      </c>
      <c r="G399">
        <v>0</v>
      </c>
    </row>
    <row r="400" spans="1:10" x14ac:dyDescent="0.2">
      <c r="A400" t="str">
        <f t="shared" si="6"/>
        <v>2013MaleMaori22</v>
      </c>
      <c r="B400">
        <v>2013</v>
      </c>
      <c r="C400" t="s">
        <v>17</v>
      </c>
      <c r="D400" t="s">
        <v>15</v>
      </c>
      <c r="E400">
        <v>22</v>
      </c>
      <c r="F400">
        <v>29</v>
      </c>
      <c r="G400">
        <v>45.597484276729602</v>
      </c>
      <c r="H400">
        <v>16.600000000000001</v>
      </c>
      <c r="I400">
        <v>28.997484276729601</v>
      </c>
      <c r="J400">
        <v>62.197484276729597</v>
      </c>
    </row>
    <row r="401" spans="1:10" x14ac:dyDescent="0.2">
      <c r="A401" t="str">
        <f t="shared" si="6"/>
        <v>2013MaleMaori23</v>
      </c>
      <c r="B401">
        <v>2013</v>
      </c>
      <c r="C401" t="s">
        <v>17</v>
      </c>
      <c r="D401" t="s">
        <v>15</v>
      </c>
      <c r="E401">
        <v>23</v>
      </c>
      <c r="F401">
        <v>31</v>
      </c>
      <c r="G401">
        <v>40.119063025753803</v>
      </c>
      <c r="H401">
        <v>14.1</v>
      </c>
      <c r="I401">
        <v>26.019063025753798</v>
      </c>
      <c r="J401">
        <v>54.219063025753798</v>
      </c>
    </row>
    <row r="402" spans="1:10" x14ac:dyDescent="0.2">
      <c r="A402" t="str">
        <f t="shared" si="6"/>
        <v>2013MaleMaori24</v>
      </c>
      <c r="B402">
        <v>2013</v>
      </c>
      <c r="C402" t="s">
        <v>17</v>
      </c>
      <c r="D402" t="s">
        <v>15</v>
      </c>
      <c r="E402">
        <v>24</v>
      </c>
      <c r="F402">
        <v>5</v>
      </c>
      <c r="G402">
        <v>8.3514280942041097</v>
      </c>
      <c r="H402">
        <v>7.3</v>
      </c>
      <c r="I402">
        <v>1.0514280942041101</v>
      </c>
      <c r="J402">
        <v>15.6514280942041</v>
      </c>
    </row>
    <row r="403" spans="1:10" x14ac:dyDescent="0.2">
      <c r="A403" t="str">
        <f t="shared" si="6"/>
        <v>2013MaleMaori25</v>
      </c>
      <c r="B403">
        <v>2013</v>
      </c>
      <c r="C403" t="s">
        <v>17</v>
      </c>
      <c r="D403" t="s">
        <v>15</v>
      </c>
      <c r="E403">
        <v>25</v>
      </c>
      <c r="F403">
        <v>0</v>
      </c>
      <c r="G403">
        <v>0</v>
      </c>
    </row>
    <row r="404" spans="1:10" x14ac:dyDescent="0.2">
      <c r="A404" t="str">
        <f t="shared" si="6"/>
        <v>2013MaleNon-Maori21</v>
      </c>
      <c r="B404">
        <v>2013</v>
      </c>
      <c r="C404" t="s">
        <v>17</v>
      </c>
      <c r="D404" t="s">
        <v>16</v>
      </c>
      <c r="E404">
        <v>21</v>
      </c>
      <c r="F404">
        <v>0</v>
      </c>
      <c r="G404">
        <v>0</v>
      </c>
    </row>
    <row r="405" spans="1:10" x14ac:dyDescent="0.2">
      <c r="A405" t="str">
        <f t="shared" si="6"/>
        <v>2013MaleNon-Maori22</v>
      </c>
      <c r="B405">
        <v>2013</v>
      </c>
      <c r="C405" t="s">
        <v>17</v>
      </c>
      <c r="D405" t="s">
        <v>16</v>
      </c>
      <c r="E405">
        <v>22</v>
      </c>
      <c r="F405">
        <v>44</v>
      </c>
      <c r="G405">
        <v>17.1667121844641</v>
      </c>
      <c r="H405">
        <v>5.0999999999999996</v>
      </c>
      <c r="I405">
        <v>12.0667121844641</v>
      </c>
      <c r="J405">
        <v>22.266712184464101</v>
      </c>
    </row>
    <row r="406" spans="1:10" x14ac:dyDescent="0.2">
      <c r="A406" t="str">
        <f t="shared" si="6"/>
        <v>2013MaleNon-Maori23</v>
      </c>
      <c r="B406">
        <v>2013</v>
      </c>
      <c r="C406" t="s">
        <v>17</v>
      </c>
      <c r="D406" t="s">
        <v>16</v>
      </c>
      <c r="E406">
        <v>23</v>
      </c>
      <c r="F406">
        <v>83</v>
      </c>
      <c r="G406">
        <v>17.636684303351</v>
      </c>
      <c r="H406">
        <v>3.8</v>
      </c>
      <c r="I406">
        <v>13.836684303350999</v>
      </c>
      <c r="J406">
        <v>21.436684303351001</v>
      </c>
    </row>
    <row r="407" spans="1:10" x14ac:dyDescent="0.2">
      <c r="A407" t="str">
        <f t="shared" si="6"/>
        <v>2013MaleNon-Maori24</v>
      </c>
      <c r="B407">
        <v>2013</v>
      </c>
      <c r="C407" t="s">
        <v>17</v>
      </c>
      <c r="D407" t="s">
        <v>16</v>
      </c>
      <c r="E407">
        <v>24</v>
      </c>
      <c r="F407">
        <v>125</v>
      </c>
      <c r="G407">
        <v>25.395148510828498</v>
      </c>
      <c r="H407">
        <v>4.5</v>
      </c>
      <c r="I407">
        <v>20.895148510828498</v>
      </c>
      <c r="J407">
        <v>29.895148510828498</v>
      </c>
    </row>
    <row r="408" spans="1:10" x14ac:dyDescent="0.2">
      <c r="A408" t="str">
        <f t="shared" si="6"/>
        <v>2013MaleNon-Maori25</v>
      </c>
      <c r="B408">
        <v>2013</v>
      </c>
      <c r="C408" t="s">
        <v>17</v>
      </c>
      <c r="D408" t="s">
        <v>16</v>
      </c>
      <c r="E408">
        <v>25</v>
      </c>
      <c r="F408">
        <v>48</v>
      </c>
      <c r="G408">
        <v>17.635388345947501</v>
      </c>
      <c r="H408">
        <v>5</v>
      </c>
      <c r="I408">
        <v>12.635388345947501</v>
      </c>
      <c r="J408">
        <v>22.635388345947501</v>
      </c>
    </row>
    <row r="409" spans="1:10" x14ac:dyDescent="0.2">
      <c r="A409" t="str">
        <f t="shared" si="6"/>
        <v>2014AllSexAllEth21</v>
      </c>
      <c r="B409">
        <v>2014</v>
      </c>
      <c r="C409" t="s">
        <v>14</v>
      </c>
      <c r="D409" t="s">
        <v>24</v>
      </c>
      <c r="E409">
        <v>21</v>
      </c>
      <c r="F409">
        <v>6</v>
      </c>
      <c r="G409">
        <v>0.65864582418547502</v>
      </c>
      <c r="H409">
        <v>0.5</v>
      </c>
      <c r="I409">
        <v>0.15864582418547499</v>
      </c>
      <c r="J409">
        <v>1.15864582418547</v>
      </c>
    </row>
    <row r="410" spans="1:10" x14ac:dyDescent="0.2">
      <c r="A410" t="str">
        <f t="shared" si="6"/>
        <v>2014AllSexAllEth22</v>
      </c>
      <c r="B410">
        <v>2014</v>
      </c>
      <c r="C410" t="s">
        <v>14</v>
      </c>
      <c r="D410" t="s">
        <v>24</v>
      </c>
      <c r="E410">
        <v>22</v>
      </c>
      <c r="F410">
        <v>89</v>
      </c>
      <c r="G410">
        <v>13.8953942232631</v>
      </c>
      <c r="H410">
        <v>2.9</v>
      </c>
      <c r="I410">
        <v>10.9953942232631</v>
      </c>
      <c r="J410">
        <v>16.795394223263099</v>
      </c>
    </row>
    <row r="411" spans="1:10" x14ac:dyDescent="0.2">
      <c r="A411" t="str">
        <f t="shared" si="6"/>
        <v>2014AllSexAllEth23</v>
      </c>
      <c r="B411">
        <v>2014</v>
      </c>
      <c r="C411" t="s">
        <v>14</v>
      </c>
      <c r="D411" t="s">
        <v>24</v>
      </c>
      <c r="E411">
        <v>23</v>
      </c>
      <c r="F411">
        <v>190</v>
      </c>
      <c r="G411">
        <v>16.415679565934902</v>
      </c>
      <c r="H411">
        <v>2.2999999999999998</v>
      </c>
      <c r="I411">
        <v>14.115679565934901</v>
      </c>
      <c r="J411">
        <v>18.715679565934899</v>
      </c>
    </row>
    <row r="412" spans="1:10" x14ac:dyDescent="0.2">
      <c r="A412" t="str">
        <f t="shared" si="6"/>
        <v>2014AllSexAllEth24</v>
      </c>
      <c r="B412">
        <v>2014</v>
      </c>
      <c r="C412" t="s">
        <v>14</v>
      </c>
      <c r="D412" t="s">
        <v>24</v>
      </c>
      <c r="E412">
        <v>24</v>
      </c>
      <c r="F412">
        <v>165</v>
      </c>
      <c r="G412">
        <v>14.301067813063399</v>
      </c>
      <c r="H412">
        <v>2.2000000000000002</v>
      </c>
      <c r="I412">
        <v>12.1010678130634</v>
      </c>
      <c r="J412">
        <v>16.501067813063401</v>
      </c>
    </row>
    <row r="413" spans="1:10" x14ac:dyDescent="0.2">
      <c r="A413" t="str">
        <f t="shared" si="6"/>
        <v>2014AllSexAllEth25</v>
      </c>
      <c r="B413">
        <v>2014</v>
      </c>
      <c r="C413" t="s">
        <v>14</v>
      </c>
      <c r="D413" t="s">
        <v>24</v>
      </c>
      <c r="E413">
        <v>25</v>
      </c>
      <c r="F413">
        <v>60</v>
      </c>
      <c r="G413">
        <v>9.2238158926347804</v>
      </c>
      <c r="H413">
        <v>2.2999999999999998</v>
      </c>
      <c r="I413">
        <v>6.9238158926347797</v>
      </c>
      <c r="J413">
        <v>11.523815892634801</v>
      </c>
    </row>
    <row r="414" spans="1:10" x14ac:dyDescent="0.2">
      <c r="A414" t="str">
        <f t="shared" si="6"/>
        <v>2014AllSexMaori21</v>
      </c>
      <c r="B414">
        <v>2014</v>
      </c>
      <c r="C414" t="s">
        <v>14</v>
      </c>
      <c r="D414" t="s">
        <v>15</v>
      </c>
      <c r="E414">
        <v>21</v>
      </c>
      <c r="F414">
        <v>3</v>
      </c>
      <c r="G414">
        <v>1.2800819252432201</v>
      </c>
      <c r="H414">
        <v>1.4</v>
      </c>
      <c r="I414">
        <v>-0.119918074756784</v>
      </c>
      <c r="J414">
        <v>2.6800819252432202</v>
      </c>
    </row>
    <row r="415" spans="1:10" x14ac:dyDescent="0.2">
      <c r="A415" t="str">
        <f t="shared" si="6"/>
        <v>2014AllSexMaori22</v>
      </c>
      <c r="B415">
        <v>2014</v>
      </c>
      <c r="C415" t="s">
        <v>14</v>
      </c>
      <c r="D415" t="s">
        <v>15</v>
      </c>
      <c r="E415">
        <v>22</v>
      </c>
      <c r="F415">
        <v>28</v>
      </c>
      <c r="G415">
        <v>21.611608521148501</v>
      </c>
      <c r="H415">
        <v>8</v>
      </c>
      <c r="I415">
        <v>13.611608521148501</v>
      </c>
      <c r="J415">
        <v>29.611608521148501</v>
      </c>
    </row>
    <row r="416" spans="1:10" x14ac:dyDescent="0.2">
      <c r="A416" t="str">
        <f t="shared" si="6"/>
        <v>2014AllSexMaori23</v>
      </c>
      <c r="B416">
        <v>2014</v>
      </c>
      <c r="C416" t="s">
        <v>14</v>
      </c>
      <c r="D416" t="s">
        <v>15</v>
      </c>
      <c r="E416">
        <v>23</v>
      </c>
      <c r="F416">
        <v>51</v>
      </c>
      <c r="G416">
        <v>30.236556589790698</v>
      </c>
      <c r="H416">
        <v>8.3000000000000007</v>
      </c>
      <c r="I416">
        <v>21.936556589790701</v>
      </c>
      <c r="J416">
        <v>38.536556589790699</v>
      </c>
    </row>
    <row r="417" spans="1:10" x14ac:dyDescent="0.2">
      <c r="A417" t="str">
        <f t="shared" si="6"/>
        <v>2014AllSexMaori24</v>
      </c>
      <c r="B417">
        <v>2014</v>
      </c>
      <c r="C417" t="s">
        <v>14</v>
      </c>
      <c r="D417" t="s">
        <v>15</v>
      </c>
      <c r="E417">
        <v>24</v>
      </c>
      <c r="F417">
        <v>11</v>
      </c>
      <c r="G417">
        <v>8.4207303069738995</v>
      </c>
      <c r="H417">
        <v>5</v>
      </c>
      <c r="I417">
        <v>3.4207303069738999</v>
      </c>
      <c r="J417">
        <v>13.420730306973899</v>
      </c>
    </row>
    <row r="418" spans="1:10" x14ac:dyDescent="0.2">
      <c r="A418" t="str">
        <f t="shared" si="6"/>
        <v>2014AllSexMaori25</v>
      </c>
      <c r="B418">
        <v>2014</v>
      </c>
      <c r="C418" t="s">
        <v>14</v>
      </c>
      <c r="D418" t="s">
        <v>15</v>
      </c>
      <c r="E418">
        <v>25</v>
      </c>
      <c r="F418">
        <v>0</v>
      </c>
      <c r="G418">
        <v>0</v>
      </c>
    </row>
    <row r="419" spans="1:10" x14ac:dyDescent="0.2">
      <c r="A419" t="str">
        <f t="shared" si="6"/>
        <v>2014AllSexNon-Maori21</v>
      </c>
      <c r="B419">
        <v>2014</v>
      </c>
      <c r="C419" t="s">
        <v>14</v>
      </c>
      <c r="D419" t="s">
        <v>16</v>
      </c>
      <c r="E419">
        <v>21</v>
      </c>
      <c r="F419">
        <v>3</v>
      </c>
      <c r="G419">
        <v>0.44339343777712098</v>
      </c>
      <c r="H419">
        <v>0.5</v>
      </c>
      <c r="I419">
        <v>-5.6606562222879103E-2</v>
      </c>
      <c r="J419">
        <v>0.94339343777712104</v>
      </c>
    </row>
    <row r="420" spans="1:10" x14ac:dyDescent="0.2">
      <c r="A420" t="str">
        <f t="shared" si="6"/>
        <v>2014AllSexNon-Maori22</v>
      </c>
      <c r="B420">
        <v>2014</v>
      </c>
      <c r="C420" t="s">
        <v>14</v>
      </c>
      <c r="D420" t="s">
        <v>16</v>
      </c>
      <c r="E420">
        <v>22</v>
      </c>
      <c r="F420">
        <v>61</v>
      </c>
      <c r="G420">
        <v>11.938779504442801</v>
      </c>
      <c r="H420">
        <v>3</v>
      </c>
      <c r="I420">
        <v>8.93877950444279</v>
      </c>
      <c r="J420">
        <v>14.938779504442801</v>
      </c>
    </row>
    <row r="421" spans="1:10" x14ac:dyDescent="0.2">
      <c r="A421" t="str">
        <f t="shared" si="6"/>
        <v>2014AllSexNon-Maori23</v>
      </c>
      <c r="B421">
        <v>2014</v>
      </c>
      <c r="C421" t="s">
        <v>14</v>
      </c>
      <c r="D421" t="s">
        <v>16</v>
      </c>
      <c r="E421">
        <v>23</v>
      </c>
      <c r="F421">
        <v>139</v>
      </c>
      <c r="G421">
        <v>14.0580120555039</v>
      </c>
      <c r="H421">
        <v>2.2999999999999998</v>
      </c>
      <c r="I421">
        <v>11.758012055503899</v>
      </c>
      <c r="J421">
        <v>16.358012055503899</v>
      </c>
    </row>
    <row r="422" spans="1:10" x14ac:dyDescent="0.2">
      <c r="A422" t="str">
        <f t="shared" si="6"/>
        <v>2014AllSexNon-Maori24</v>
      </c>
      <c r="B422">
        <v>2014</v>
      </c>
      <c r="C422" t="s">
        <v>14</v>
      </c>
      <c r="D422" t="s">
        <v>16</v>
      </c>
      <c r="E422">
        <v>24</v>
      </c>
      <c r="F422">
        <v>154</v>
      </c>
      <c r="G422">
        <v>15.051850693460301</v>
      </c>
      <c r="H422">
        <v>2.4</v>
      </c>
      <c r="I422">
        <v>12.6518506934603</v>
      </c>
      <c r="J422">
        <v>17.451850693460301</v>
      </c>
    </row>
    <row r="423" spans="1:10" x14ac:dyDescent="0.2">
      <c r="A423" t="str">
        <f t="shared" si="6"/>
        <v>2014AllSexNon-Maori25</v>
      </c>
      <c r="B423">
        <v>2014</v>
      </c>
      <c r="C423" t="s">
        <v>14</v>
      </c>
      <c r="D423" t="s">
        <v>16</v>
      </c>
      <c r="E423">
        <v>25</v>
      </c>
      <c r="F423">
        <v>60</v>
      </c>
      <c r="G423">
        <v>9.8053635338530203</v>
      </c>
      <c r="H423">
        <v>2.5</v>
      </c>
      <c r="I423">
        <v>7.3053635338530203</v>
      </c>
      <c r="J423">
        <v>12.305363533853001</v>
      </c>
    </row>
    <row r="424" spans="1:10" x14ac:dyDescent="0.2">
      <c r="A424" t="str">
        <f t="shared" si="6"/>
        <v>2014FemaleAllEth21</v>
      </c>
      <c r="B424">
        <v>2014</v>
      </c>
      <c r="C424" t="s">
        <v>5</v>
      </c>
      <c r="D424" t="s">
        <v>24</v>
      </c>
      <c r="E424">
        <v>21</v>
      </c>
      <c r="F424">
        <v>4</v>
      </c>
      <c r="G424">
        <v>0.90098207045679801</v>
      </c>
      <c r="H424">
        <v>0.9</v>
      </c>
      <c r="I424">
        <v>9.8207045679799009E-4</v>
      </c>
      <c r="J424">
        <v>1.8009820704568</v>
      </c>
    </row>
    <row r="425" spans="1:10" x14ac:dyDescent="0.2">
      <c r="A425" t="str">
        <f t="shared" si="6"/>
        <v>2014FemaleAllEth22</v>
      </c>
      <c r="B425">
        <v>2014</v>
      </c>
      <c r="C425" t="s">
        <v>5</v>
      </c>
      <c r="D425" t="s">
        <v>24</v>
      </c>
      <c r="E425">
        <v>22</v>
      </c>
      <c r="F425">
        <v>21</v>
      </c>
      <c r="G425">
        <v>6.7275348390197003</v>
      </c>
      <c r="H425">
        <v>2.9</v>
      </c>
      <c r="I425">
        <v>3.8275348390196999</v>
      </c>
      <c r="J425">
        <v>9.6275348390197006</v>
      </c>
    </row>
    <row r="426" spans="1:10" x14ac:dyDescent="0.2">
      <c r="A426" t="str">
        <f t="shared" si="6"/>
        <v>2014FemaleAllEth23</v>
      </c>
      <c r="B426">
        <v>2014</v>
      </c>
      <c r="C426" t="s">
        <v>5</v>
      </c>
      <c r="D426" t="s">
        <v>24</v>
      </c>
      <c r="E426">
        <v>23</v>
      </c>
      <c r="F426">
        <v>50</v>
      </c>
      <c r="G426">
        <v>8.3223755388738194</v>
      </c>
      <c r="H426">
        <v>2.2999999999999998</v>
      </c>
      <c r="I426">
        <v>6.0223755388738196</v>
      </c>
      <c r="J426">
        <v>10.622375538873801</v>
      </c>
    </row>
    <row r="427" spans="1:10" x14ac:dyDescent="0.2">
      <c r="A427" t="str">
        <f t="shared" si="6"/>
        <v>2014FemaleAllEth24</v>
      </c>
      <c r="B427">
        <v>2014</v>
      </c>
      <c r="C427" t="s">
        <v>5</v>
      </c>
      <c r="D427" t="s">
        <v>24</v>
      </c>
      <c r="E427">
        <v>24</v>
      </c>
      <c r="F427">
        <v>45</v>
      </c>
      <c r="G427">
        <v>7.5585789871504199</v>
      </c>
      <c r="H427">
        <v>2.2000000000000002</v>
      </c>
      <c r="I427">
        <v>5.3585789871504197</v>
      </c>
      <c r="J427">
        <v>9.7585789871504094</v>
      </c>
    </row>
    <row r="428" spans="1:10" x14ac:dyDescent="0.2">
      <c r="A428" t="str">
        <f t="shared" si="6"/>
        <v>2014FemaleAllEth25</v>
      </c>
      <c r="B428">
        <v>2014</v>
      </c>
      <c r="C428" t="s">
        <v>5</v>
      </c>
      <c r="D428" t="s">
        <v>24</v>
      </c>
      <c r="E428">
        <v>25</v>
      </c>
      <c r="F428">
        <v>11</v>
      </c>
      <c r="G428">
        <v>3.1469931910511</v>
      </c>
      <c r="H428">
        <v>1.9</v>
      </c>
      <c r="I428">
        <v>1.2469931910511001</v>
      </c>
      <c r="J428">
        <v>5.0469931910510999</v>
      </c>
    </row>
    <row r="429" spans="1:10" x14ac:dyDescent="0.2">
      <c r="A429" t="str">
        <f t="shared" si="6"/>
        <v>2014FemaleMaori21</v>
      </c>
      <c r="B429">
        <v>2014</v>
      </c>
      <c r="C429" t="s">
        <v>5</v>
      </c>
      <c r="D429" t="s">
        <v>15</v>
      </c>
      <c r="E429">
        <v>21</v>
      </c>
      <c r="F429">
        <v>2</v>
      </c>
      <c r="G429">
        <v>1.7551557700745899</v>
      </c>
      <c r="H429">
        <v>2.4</v>
      </c>
      <c r="I429">
        <v>-0.64484422992540602</v>
      </c>
      <c r="J429">
        <v>4.1551557700745896</v>
      </c>
    </row>
    <row r="430" spans="1:10" x14ac:dyDescent="0.2">
      <c r="A430" t="str">
        <f t="shared" si="6"/>
        <v>2014FemaleMaori22</v>
      </c>
      <c r="B430">
        <v>2014</v>
      </c>
      <c r="C430" t="s">
        <v>5</v>
      </c>
      <c r="D430" t="s">
        <v>15</v>
      </c>
      <c r="E430">
        <v>22</v>
      </c>
      <c r="F430">
        <v>8</v>
      </c>
      <c r="G430">
        <v>12.405024034734099</v>
      </c>
      <c r="H430">
        <v>8.6</v>
      </c>
      <c r="I430">
        <v>3.8050240347340698</v>
      </c>
      <c r="J430">
        <v>21.005024034734099</v>
      </c>
    </row>
    <row r="431" spans="1:10" x14ac:dyDescent="0.2">
      <c r="A431" t="str">
        <f t="shared" si="6"/>
        <v>2014FemaleMaori23</v>
      </c>
      <c r="B431">
        <v>2014</v>
      </c>
      <c r="C431" t="s">
        <v>5</v>
      </c>
      <c r="D431" t="s">
        <v>15</v>
      </c>
      <c r="E431">
        <v>23</v>
      </c>
      <c r="F431">
        <v>15</v>
      </c>
      <c r="G431">
        <v>16.458196181698501</v>
      </c>
      <c r="H431">
        <v>8.3000000000000007</v>
      </c>
      <c r="I431">
        <v>8.1581961816984894</v>
      </c>
      <c r="J431">
        <v>24.758196181698501</v>
      </c>
    </row>
    <row r="432" spans="1:10" x14ac:dyDescent="0.2">
      <c r="A432" t="str">
        <f t="shared" si="6"/>
        <v>2014FemaleMaori24</v>
      </c>
      <c r="B432">
        <v>2014</v>
      </c>
      <c r="C432" t="s">
        <v>5</v>
      </c>
      <c r="D432" t="s">
        <v>15</v>
      </c>
      <c r="E432">
        <v>24</v>
      </c>
      <c r="F432">
        <v>2</v>
      </c>
      <c r="G432">
        <v>2.88433804441881</v>
      </c>
      <c r="H432">
        <v>4</v>
      </c>
      <c r="I432">
        <v>-1.11566195558119</v>
      </c>
      <c r="J432">
        <v>6.8843380444188096</v>
      </c>
    </row>
    <row r="433" spans="1:10" x14ac:dyDescent="0.2">
      <c r="A433" t="str">
        <f t="shared" si="6"/>
        <v>2014FemaleMaori25</v>
      </c>
      <c r="B433">
        <v>2014</v>
      </c>
      <c r="C433" t="s">
        <v>5</v>
      </c>
      <c r="D433" t="s">
        <v>15</v>
      </c>
      <c r="E433">
        <v>25</v>
      </c>
      <c r="F433">
        <v>0</v>
      </c>
      <c r="G433">
        <v>0</v>
      </c>
    </row>
    <row r="434" spans="1:10" x14ac:dyDescent="0.2">
      <c r="A434" t="str">
        <f t="shared" si="6"/>
        <v>2014FemaleNon-Maori21</v>
      </c>
      <c r="B434">
        <v>2014</v>
      </c>
      <c r="C434" t="s">
        <v>5</v>
      </c>
      <c r="D434" t="s">
        <v>16</v>
      </c>
      <c r="E434">
        <v>21</v>
      </c>
      <c r="F434">
        <v>2</v>
      </c>
      <c r="G434">
        <v>0.60604224114420802</v>
      </c>
      <c r="H434">
        <v>0.8</v>
      </c>
      <c r="I434">
        <v>-0.193957758855792</v>
      </c>
      <c r="J434">
        <v>1.4060422411442099</v>
      </c>
    </row>
    <row r="435" spans="1:10" x14ac:dyDescent="0.2">
      <c r="A435" t="str">
        <f t="shared" si="6"/>
        <v>2014FemaleNon-Maori22</v>
      </c>
      <c r="B435">
        <v>2014</v>
      </c>
      <c r="C435" t="s">
        <v>5</v>
      </c>
      <c r="D435" t="s">
        <v>16</v>
      </c>
      <c r="E435">
        <v>22</v>
      </c>
      <c r="F435">
        <v>13</v>
      </c>
      <c r="G435">
        <v>5.2491318743438597</v>
      </c>
      <c r="H435">
        <v>2.9</v>
      </c>
      <c r="I435">
        <v>2.3491318743438598</v>
      </c>
      <c r="J435">
        <v>8.1491318743438601</v>
      </c>
    </row>
    <row r="436" spans="1:10" x14ac:dyDescent="0.2">
      <c r="A436" t="str">
        <f t="shared" si="6"/>
        <v>2014FemaleNon-Maori23</v>
      </c>
      <c r="B436">
        <v>2014</v>
      </c>
      <c r="C436" t="s">
        <v>5</v>
      </c>
      <c r="D436" t="s">
        <v>16</v>
      </c>
      <c r="E436">
        <v>23</v>
      </c>
      <c r="F436">
        <v>35</v>
      </c>
      <c r="G436">
        <v>6.8674580594525603</v>
      </c>
      <c r="H436">
        <v>2.2999999999999998</v>
      </c>
      <c r="I436">
        <v>4.5674580594525596</v>
      </c>
      <c r="J436">
        <v>9.1674580594525601</v>
      </c>
    </row>
    <row r="437" spans="1:10" x14ac:dyDescent="0.2">
      <c r="A437" t="str">
        <f t="shared" si="6"/>
        <v>2014FemaleNon-Maori24</v>
      </c>
      <c r="B437">
        <v>2014</v>
      </c>
      <c r="C437" t="s">
        <v>5</v>
      </c>
      <c r="D437" t="s">
        <v>16</v>
      </c>
      <c r="E437">
        <v>24</v>
      </c>
      <c r="F437">
        <v>43</v>
      </c>
      <c r="G437">
        <v>8.1747495294766299</v>
      </c>
      <c r="H437">
        <v>2.4</v>
      </c>
      <c r="I437">
        <v>5.7747495294766296</v>
      </c>
      <c r="J437">
        <v>10.5747495294766</v>
      </c>
    </row>
    <row r="438" spans="1:10" x14ac:dyDescent="0.2">
      <c r="A438" t="str">
        <f t="shared" si="6"/>
        <v>2014FemaleNon-Maori25</v>
      </c>
      <c r="B438">
        <v>2014</v>
      </c>
      <c r="C438" t="s">
        <v>5</v>
      </c>
      <c r="D438" t="s">
        <v>16</v>
      </c>
      <c r="E438">
        <v>25</v>
      </c>
      <c r="F438">
        <v>11</v>
      </c>
      <c r="G438">
        <v>3.3487579152459799</v>
      </c>
      <c r="H438">
        <v>2</v>
      </c>
      <c r="I438">
        <v>1.3487579152459801</v>
      </c>
      <c r="J438">
        <v>5.3487579152459803</v>
      </c>
    </row>
    <row r="439" spans="1:10" x14ac:dyDescent="0.2">
      <c r="A439" t="str">
        <f t="shared" si="6"/>
        <v>2014MaleAllEth21</v>
      </c>
      <c r="B439">
        <v>2014</v>
      </c>
      <c r="C439" t="s">
        <v>17</v>
      </c>
      <c r="D439" t="s">
        <v>24</v>
      </c>
      <c r="E439">
        <v>21</v>
      </c>
      <c r="F439">
        <v>2</v>
      </c>
      <c r="G439">
        <v>0.42826552462526801</v>
      </c>
      <c r="H439">
        <v>0.6</v>
      </c>
      <c r="I439">
        <v>-0.17173447537473199</v>
      </c>
      <c r="J439">
        <v>1.0282655246252701</v>
      </c>
    </row>
    <row r="440" spans="1:10" x14ac:dyDescent="0.2">
      <c r="A440" t="str">
        <f t="shared" si="6"/>
        <v>2014MaleAllEth22</v>
      </c>
      <c r="B440">
        <v>2014</v>
      </c>
      <c r="C440" t="s">
        <v>17</v>
      </c>
      <c r="D440" t="s">
        <v>24</v>
      </c>
      <c r="E440">
        <v>22</v>
      </c>
      <c r="F440">
        <v>68</v>
      </c>
      <c r="G440">
        <v>20.7096086493071</v>
      </c>
      <c r="H440">
        <v>4.9000000000000004</v>
      </c>
      <c r="I440">
        <v>15.8096086493071</v>
      </c>
      <c r="J440">
        <v>25.609608649307098</v>
      </c>
    </row>
    <row r="441" spans="1:10" x14ac:dyDescent="0.2">
      <c r="A441" t="str">
        <f t="shared" si="6"/>
        <v>2014MaleAllEth23</v>
      </c>
      <c r="B441">
        <v>2014</v>
      </c>
      <c r="C441" t="s">
        <v>17</v>
      </c>
      <c r="D441" t="s">
        <v>24</v>
      </c>
      <c r="E441">
        <v>23</v>
      </c>
      <c r="F441">
        <v>140</v>
      </c>
      <c r="G441">
        <v>25.150453606395399</v>
      </c>
      <c r="H441">
        <v>4.2</v>
      </c>
      <c r="I441">
        <v>20.950453606395399</v>
      </c>
      <c r="J441">
        <v>29.350453606395401</v>
      </c>
    </row>
    <row r="442" spans="1:10" x14ac:dyDescent="0.2">
      <c r="A442" t="str">
        <f t="shared" si="6"/>
        <v>2014MaleAllEth24</v>
      </c>
      <c r="B442">
        <v>2014</v>
      </c>
      <c r="C442" t="s">
        <v>17</v>
      </c>
      <c r="D442" t="s">
        <v>24</v>
      </c>
      <c r="E442">
        <v>24</v>
      </c>
      <c r="F442">
        <v>120</v>
      </c>
      <c r="G442">
        <v>21.489971346704898</v>
      </c>
      <c r="H442">
        <v>3.8</v>
      </c>
      <c r="I442">
        <v>17.689971346704901</v>
      </c>
      <c r="J442">
        <v>25.289971346704899</v>
      </c>
    </row>
    <row r="443" spans="1:10" x14ac:dyDescent="0.2">
      <c r="A443" t="str">
        <f t="shared" si="6"/>
        <v>2014MaleAllEth25</v>
      </c>
      <c r="B443">
        <v>2014</v>
      </c>
      <c r="C443" t="s">
        <v>17</v>
      </c>
      <c r="D443" t="s">
        <v>24</v>
      </c>
      <c r="E443">
        <v>25</v>
      </c>
      <c r="F443">
        <v>49</v>
      </c>
      <c r="G443">
        <v>16.2817743811264</v>
      </c>
      <c r="H443">
        <v>4.5999999999999996</v>
      </c>
      <c r="I443">
        <v>11.681774381126401</v>
      </c>
      <c r="J443">
        <v>20.881774381126402</v>
      </c>
    </row>
    <row r="444" spans="1:10" x14ac:dyDescent="0.2">
      <c r="A444" t="str">
        <f t="shared" si="6"/>
        <v>2014MaleMaori21</v>
      </c>
      <c r="B444">
        <v>2014</v>
      </c>
      <c r="C444" t="s">
        <v>17</v>
      </c>
      <c r="D444" t="s">
        <v>15</v>
      </c>
      <c r="E444">
        <v>21</v>
      </c>
      <c r="F444">
        <v>1</v>
      </c>
      <c r="G444">
        <v>0.83049580599618</v>
      </c>
      <c r="H444">
        <v>1.6</v>
      </c>
      <c r="I444">
        <v>-0.76950419400381997</v>
      </c>
      <c r="J444">
        <v>2.4304958059961801</v>
      </c>
    </row>
    <row r="445" spans="1:10" x14ac:dyDescent="0.2">
      <c r="A445" t="str">
        <f t="shared" si="6"/>
        <v>2014MaleMaori22</v>
      </c>
      <c r="B445">
        <v>2014</v>
      </c>
      <c r="C445" t="s">
        <v>17</v>
      </c>
      <c r="D445" t="s">
        <v>15</v>
      </c>
      <c r="E445">
        <v>22</v>
      </c>
      <c r="F445">
        <v>20</v>
      </c>
      <c r="G445">
        <v>30.736130321192601</v>
      </c>
      <c r="H445">
        <v>13.5</v>
      </c>
      <c r="I445">
        <v>17.236130321192601</v>
      </c>
      <c r="J445">
        <v>44.236130321192597</v>
      </c>
    </row>
    <row r="446" spans="1:10" x14ac:dyDescent="0.2">
      <c r="A446" t="str">
        <f t="shared" si="6"/>
        <v>2014MaleMaori23</v>
      </c>
      <c r="B446">
        <v>2014</v>
      </c>
      <c r="C446" t="s">
        <v>17</v>
      </c>
      <c r="D446" t="s">
        <v>15</v>
      </c>
      <c r="E446">
        <v>23</v>
      </c>
      <c r="F446">
        <v>36</v>
      </c>
      <c r="G446">
        <v>46.433638591513002</v>
      </c>
      <c r="H446">
        <v>15.2</v>
      </c>
      <c r="I446">
        <v>31.233638591512999</v>
      </c>
      <c r="J446">
        <v>61.633638591512998</v>
      </c>
    </row>
    <row r="447" spans="1:10" x14ac:dyDescent="0.2">
      <c r="A447" t="str">
        <f t="shared" si="6"/>
        <v>2014MaleMaori24</v>
      </c>
      <c r="B447">
        <v>2014</v>
      </c>
      <c r="C447" t="s">
        <v>17</v>
      </c>
      <c r="D447" t="s">
        <v>15</v>
      </c>
      <c r="E447">
        <v>24</v>
      </c>
      <c r="F447">
        <v>9</v>
      </c>
      <c r="G447">
        <v>14.6866840731071</v>
      </c>
      <c r="H447">
        <v>9.6</v>
      </c>
      <c r="I447">
        <v>5.0866840731070502</v>
      </c>
      <c r="J447">
        <v>24.2866840731071</v>
      </c>
    </row>
    <row r="448" spans="1:10" x14ac:dyDescent="0.2">
      <c r="A448" t="str">
        <f t="shared" si="6"/>
        <v>2014MaleMaori25</v>
      </c>
      <c r="B448">
        <v>2014</v>
      </c>
      <c r="C448" t="s">
        <v>17</v>
      </c>
      <c r="D448" t="s">
        <v>15</v>
      </c>
      <c r="E448">
        <v>25</v>
      </c>
      <c r="F448">
        <v>0</v>
      </c>
      <c r="G448">
        <v>0</v>
      </c>
    </row>
    <row r="449" spans="1:10" x14ac:dyDescent="0.2">
      <c r="A449" t="str">
        <f t="shared" si="6"/>
        <v>2014MaleNon-Maori21</v>
      </c>
      <c r="B449">
        <v>2014</v>
      </c>
      <c r="C449" t="s">
        <v>17</v>
      </c>
      <c r="D449" t="s">
        <v>16</v>
      </c>
      <c r="E449">
        <v>21</v>
      </c>
      <c r="F449">
        <v>1</v>
      </c>
      <c r="G449">
        <v>0.28852534695172999</v>
      </c>
      <c r="H449">
        <v>0.6</v>
      </c>
      <c r="I449">
        <v>-0.31147465304826999</v>
      </c>
      <c r="J449">
        <v>0.88852534695173002</v>
      </c>
    </row>
    <row r="450" spans="1:10" x14ac:dyDescent="0.2">
      <c r="A450" t="str">
        <f t="shared" si="6"/>
        <v>2014MaleNon-Maori22</v>
      </c>
      <c r="B450">
        <v>2014</v>
      </c>
      <c r="C450" t="s">
        <v>17</v>
      </c>
      <c r="D450" t="s">
        <v>16</v>
      </c>
      <c r="E450">
        <v>22</v>
      </c>
      <c r="F450">
        <v>48</v>
      </c>
      <c r="G450">
        <v>18.231540565177799</v>
      </c>
      <c r="H450">
        <v>5.2</v>
      </c>
      <c r="I450">
        <v>13.031540565177799</v>
      </c>
      <c r="J450">
        <v>23.431540565177801</v>
      </c>
    </row>
    <row r="451" spans="1:10" x14ac:dyDescent="0.2">
      <c r="A451" t="str">
        <f t="shared" si="6"/>
        <v>2014MaleNon-Maori23</v>
      </c>
      <c r="B451">
        <v>2014</v>
      </c>
      <c r="C451" t="s">
        <v>17</v>
      </c>
      <c r="D451" t="s">
        <v>16</v>
      </c>
      <c r="E451">
        <v>23</v>
      </c>
      <c r="F451">
        <v>104</v>
      </c>
      <c r="G451">
        <v>21.706461846719002</v>
      </c>
      <c r="H451">
        <v>4.2</v>
      </c>
      <c r="I451">
        <v>17.506461846718999</v>
      </c>
      <c r="J451">
        <v>25.906461846719001</v>
      </c>
    </row>
    <row r="452" spans="1:10" x14ac:dyDescent="0.2">
      <c r="A452" t="str">
        <f t="shared" ref="A452:A515" si="7">B452&amp;C452&amp;D452&amp;E452</f>
        <v>2014MaleNon-Maori24</v>
      </c>
      <c r="B452">
        <v>2014</v>
      </c>
      <c r="C452" t="s">
        <v>17</v>
      </c>
      <c r="D452" t="s">
        <v>16</v>
      </c>
      <c r="E452">
        <v>24</v>
      </c>
      <c r="F452">
        <v>111</v>
      </c>
      <c r="G452">
        <v>22.328612809784399</v>
      </c>
      <c r="H452">
        <v>4.2</v>
      </c>
      <c r="I452">
        <v>18.1286128097844</v>
      </c>
      <c r="J452">
        <v>26.528612809784399</v>
      </c>
    </row>
    <row r="453" spans="1:10" x14ac:dyDescent="0.2">
      <c r="A453" t="str">
        <f t="shared" si="7"/>
        <v>2014MaleNon-Maori25</v>
      </c>
      <c r="B453">
        <v>2014</v>
      </c>
      <c r="C453" t="s">
        <v>17</v>
      </c>
      <c r="D453" t="s">
        <v>16</v>
      </c>
      <c r="E453">
        <v>25</v>
      </c>
      <c r="F453">
        <v>49</v>
      </c>
      <c r="G453">
        <v>17.287609370589902</v>
      </c>
      <c r="H453">
        <v>4.8</v>
      </c>
      <c r="I453">
        <v>12.487609370589899</v>
      </c>
      <c r="J453">
        <v>22.087609370589899</v>
      </c>
    </row>
    <row r="454" spans="1:10" x14ac:dyDescent="0.2">
      <c r="A454" t="str">
        <f t="shared" si="7"/>
        <v>2015AllSexAllEth21</v>
      </c>
      <c r="B454">
        <v>2015</v>
      </c>
      <c r="C454" t="s">
        <v>14</v>
      </c>
      <c r="D454" t="s">
        <v>24</v>
      </c>
      <c r="E454">
        <v>21</v>
      </c>
      <c r="F454">
        <v>9</v>
      </c>
      <c r="G454">
        <v>0.98420891474563699</v>
      </c>
      <c r="H454">
        <v>0.6</v>
      </c>
      <c r="I454">
        <v>0.38420891474563701</v>
      </c>
      <c r="J454">
        <v>1.58420891474564</v>
      </c>
    </row>
    <row r="455" spans="1:10" x14ac:dyDescent="0.2">
      <c r="A455" t="str">
        <f t="shared" si="7"/>
        <v>2015AllSexAllEth22</v>
      </c>
      <c r="B455">
        <v>2015</v>
      </c>
      <c r="C455" t="s">
        <v>14</v>
      </c>
      <c r="D455" t="s">
        <v>24</v>
      </c>
      <c r="E455">
        <v>22</v>
      </c>
      <c r="F455">
        <v>111</v>
      </c>
      <c r="G455">
        <v>16.906299500426499</v>
      </c>
      <c r="H455">
        <v>3.1</v>
      </c>
      <c r="I455">
        <v>13.806299500426499</v>
      </c>
      <c r="J455">
        <v>20.006299500426501</v>
      </c>
    </row>
    <row r="456" spans="1:10" x14ac:dyDescent="0.2">
      <c r="A456" t="str">
        <f t="shared" si="7"/>
        <v>2015AllSexAllEth23</v>
      </c>
      <c r="B456">
        <v>2015</v>
      </c>
      <c r="C456" t="s">
        <v>14</v>
      </c>
      <c r="D456" t="s">
        <v>24</v>
      </c>
      <c r="E456">
        <v>23</v>
      </c>
      <c r="F456">
        <v>173</v>
      </c>
      <c r="G456">
        <v>14.6091421140189</v>
      </c>
      <c r="H456">
        <v>2.2000000000000002</v>
      </c>
      <c r="I456">
        <v>12.4091421140189</v>
      </c>
      <c r="J456">
        <v>16.809142114018901</v>
      </c>
    </row>
    <row r="457" spans="1:10" x14ac:dyDescent="0.2">
      <c r="A457" t="str">
        <f t="shared" si="7"/>
        <v>2015AllSexAllEth24</v>
      </c>
      <c r="B457">
        <v>2015</v>
      </c>
      <c r="C457" t="s">
        <v>14</v>
      </c>
      <c r="D457" t="s">
        <v>24</v>
      </c>
      <c r="E457">
        <v>24</v>
      </c>
      <c r="F457">
        <v>171</v>
      </c>
      <c r="G457">
        <v>14.616134160726199</v>
      </c>
      <c r="H457">
        <v>2.2000000000000002</v>
      </c>
      <c r="I457">
        <v>12.4161341607262</v>
      </c>
      <c r="J457">
        <v>16.8161341607262</v>
      </c>
    </row>
    <row r="458" spans="1:10" x14ac:dyDescent="0.2">
      <c r="A458" t="str">
        <f t="shared" si="7"/>
        <v>2015AllSexAllEth25</v>
      </c>
      <c r="B458">
        <v>2015</v>
      </c>
      <c r="C458" t="s">
        <v>14</v>
      </c>
      <c r="D458" t="s">
        <v>24</v>
      </c>
      <c r="E458">
        <v>25</v>
      </c>
      <c r="F458">
        <v>65</v>
      </c>
      <c r="G458">
        <v>9.6410560664491296</v>
      </c>
      <c r="H458">
        <v>2.2999999999999998</v>
      </c>
      <c r="I458">
        <v>7.3410560664491298</v>
      </c>
      <c r="J458">
        <v>11.9410560664491</v>
      </c>
    </row>
    <row r="459" spans="1:10" x14ac:dyDescent="0.2">
      <c r="A459" t="str">
        <f t="shared" si="7"/>
        <v>2015AllSexMaori21</v>
      </c>
      <c r="B459">
        <v>2015</v>
      </c>
      <c r="C459" t="s">
        <v>14</v>
      </c>
      <c r="D459" t="s">
        <v>15</v>
      </c>
      <c r="E459">
        <v>21</v>
      </c>
      <c r="F459">
        <v>4</v>
      </c>
      <c r="G459">
        <v>1.6996685646298999</v>
      </c>
      <c r="H459">
        <v>1.7</v>
      </c>
      <c r="I459">
        <v>-3.3143537010271701E-4</v>
      </c>
      <c r="J459">
        <v>3.3996685646298999</v>
      </c>
    </row>
    <row r="460" spans="1:10" x14ac:dyDescent="0.2">
      <c r="A460" t="str">
        <f t="shared" si="7"/>
        <v>2015AllSexMaori22</v>
      </c>
      <c r="B460">
        <v>2015</v>
      </c>
      <c r="C460" t="s">
        <v>14</v>
      </c>
      <c r="D460" t="s">
        <v>15</v>
      </c>
      <c r="E460">
        <v>22</v>
      </c>
      <c r="F460">
        <v>42</v>
      </c>
      <c r="G460">
        <v>31.7989097516657</v>
      </c>
      <c r="H460">
        <v>9.6</v>
      </c>
      <c r="I460">
        <v>22.198909751665699</v>
      </c>
      <c r="J460">
        <v>41.398909751665698</v>
      </c>
    </row>
    <row r="461" spans="1:10" x14ac:dyDescent="0.2">
      <c r="A461" t="str">
        <f t="shared" si="7"/>
        <v>2015AllSexMaori23</v>
      </c>
      <c r="B461">
        <v>2015</v>
      </c>
      <c r="C461" t="s">
        <v>14</v>
      </c>
      <c r="D461" t="s">
        <v>15</v>
      </c>
      <c r="E461">
        <v>23</v>
      </c>
      <c r="F461">
        <v>54</v>
      </c>
      <c r="G461">
        <v>31.665982525068902</v>
      </c>
      <c r="H461">
        <v>8.4</v>
      </c>
      <c r="I461">
        <v>23.2659825250689</v>
      </c>
      <c r="J461">
        <v>40.065982525068897</v>
      </c>
    </row>
    <row r="462" spans="1:10" x14ac:dyDescent="0.2">
      <c r="A462" t="str">
        <f t="shared" si="7"/>
        <v>2015AllSexMaori24</v>
      </c>
      <c r="B462">
        <v>2015</v>
      </c>
      <c r="C462" t="s">
        <v>14</v>
      </c>
      <c r="D462" t="s">
        <v>15</v>
      </c>
      <c r="E462">
        <v>24</v>
      </c>
      <c r="F462">
        <v>18</v>
      </c>
      <c r="G462">
        <v>13.474062429822601</v>
      </c>
      <c r="H462">
        <v>6.2</v>
      </c>
      <c r="I462">
        <v>7.2740624298225898</v>
      </c>
      <c r="J462">
        <v>19.674062429822602</v>
      </c>
    </row>
    <row r="463" spans="1:10" x14ac:dyDescent="0.2">
      <c r="A463" t="str">
        <f t="shared" si="7"/>
        <v>2015AllSexMaori25</v>
      </c>
      <c r="B463">
        <v>2015</v>
      </c>
      <c r="C463" t="s">
        <v>14</v>
      </c>
      <c r="D463" t="s">
        <v>15</v>
      </c>
      <c r="E463">
        <v>25</v>
      </c>
      <c r="F463">
        <v>0</v>
      </c>
      <c r="G463">
        <v>0</v>
      </c>
    </row>
    <row r="464" spans="1:10" x14ac:dyDescent="0.2">
      <c r="A464" t="str">
        <f t="shared" si="7"/>
        <v>2015AllSexNon-Maori21</v>
      </c>
      <c r="B464">
        <v>2015</v>
      </c>
      <c r="C464" t="s">
        <v>14</v>
      </c>
      <c r="D464" t="s">
        <v>16</v>
      </c>
      <c r="E464">
        <v>21</v>
      </c>
      <c r="F464">
        <v>5</v>
      </c>
      <c r="G464">
        <v>0.73626859078191698</v>
      </c>
      <c r="H464">
        <v>0.6</v>
      </c>
      <c r="I464">
        <v>0.136268590781917</v>
      </c>
      <c r="J464">
        <v>1.3362685907819201</v>
      </c>
    </row>
    <row r="465" spans="1:10" x14ac:dyDescent="0.2">
      <c r="A465" t="str">
        <f t="shared" si="7"/>
        <v>2015AllSexNon-Maori22</v>
      </c>
      <c r="B465">
        <v>2015</v>
      </c>
      <c r="C465" t="s">
        <v>14</v>
      </c>
      <c r="D465" t="s">
        <v>16</v>
      </c>
      <c r="E465">
        <v>22</v>
      </c>
      <c r="F465">
        <v>69</v>
      </c>
      <c r="G465">
        <v>13.155887736424599</v>
      </c>
      <c r="H465">
        <v>3.1</v>
      </c>
      <c r="I465">
        <v>10.0558877364246</v>
      </c>
      <c r="J465">
        <v>16.2558877364247</v>
      </c>
    </row>
    <row r="466" spans="1:10" x14ac:dyDescent="0.2">
      <c r="A466" t="str">
        <f t="shared" si="7"/>
        <v>2015AllSexNon-Maori23</v>
      </c>
      <c r="B466">
        <v>2015</v>
      </c>
      <c r="C466" t="s">
        <v>14</v>
      </c>
      <c r="D466" t="s">
        <v>16</v>
      </c>
      <c r="E466">
        <v>23</v>
      </c>
      <c r="F466">
        <v>119</v>
      </c>
      <c r="G466">
        <v>11.739636564528499</v>
      </c>
      <c r="H466">
        <v>2.1</v>
      </c>
      <c r="I466">
        <v>9.6396365645285407</v>
      </c>
      <c r="J466">
        <v>13.839636564528501</v>
      </c>
    </row>
    <row r="467" spans="1:10" x14ac:dyDescent="0.2">
      <c r="A467" t="str">
        <f t="shared" si="7"/>
        <v>2015AllSexNon-Maori24</v>
      </c>
      <c r="B467">
        <v>2015</v>
      </c>
      <c r="C467" t="s">
        <v>14</v>
      </c>
      <c r="D467" t="s">
        <v>16</v>
      </c>
      <c r="E467">
        <v>24</v>
      </c>
      <c r="F467">
        <v>153</v>
      </c>
      <c r="G467">
        <v>14.7633521493704</v>
      </c>
      <c r="H467">
        <v>2.2999999999999998</v>
      </c>
      <c r="I467">
        <v>12.463352149370399</v>
      </c>
      <c r="J467">
        <v>17.063352149370399</v>
      </c>
    </row>
    <row r="468" spans="1:10" x14ac:dyDescent="0.2">
      <c r="A468" t="str">
        <f t="shared" si="7"/>
        <v>2015AllSexNon-Maori25</v>
      </c>
      <c r="B468">
        <v>2015</v>
      </c>
      <c r="C468" t="s">
        <v>14</v>
      </c>
      <c r="D468" t="s">
        <v>16</v>
      </c>
      <c r="E468">
        <v>25</v>
      </c>
      <c r="F468">
        <v>65</v>
      </c>
      <c r="G468">
        <v>10.261105673602099</v>
      </c>
      <c r="H468">
        <v>2.5</v>
      </c>
      <c r="I468">
        <v>7.7611056736021196</v>
      </c>
      <c r="J468">
        <v>12.761105673602099</v>
      </c>
    </row>
    <row r="469" spans="1:10" x14ac:dyDescent="0.2">
      <c r="A469" t="str">
        <f t="shared" si="7"/>
        <v>2015FemaleAllEth21</v>
      </c>
      <c r="B469">
        <v>2015</v>
      </c>
      <c r="C469" t="s">
        <v>5</v>
      </c>
      <c r="D469" t="s">
        <v>24</v>
      </c>
      <c r="E469">
        <v>21</v>
      </c>
      <c r="F469">
        <v>4</v>
      </c>
      <c r="G469">
        <v>0.89760563696340001</v>
      </c>
      <c r="H469">
        <v>0.9</v>
      </c>
      <c r="I469">
        <v>-2.3943630365998998E-3</v>
      </c>
      <c r="J469">
        <v>1.7976056369633999</v>
      </c>
    </row>
    <row r="470" spans="1:10" x14ac:dyDescent="0.2">
      <c r="A470" t="str">
        <f t="shared" si="7"/>
        <v>2015FemaleAllEth22</v>
      </c>
      <c r="B470">
        <v>2015</v>
      </c>
      <c r="C470" t="s">
        <v>5</v>
      </c>
      <c r="D470" t="s">
        <v>24</v>
      </c>
      <c r="E470">
        <v>22</v>
      </c>
      <c r="F470">
        <v>41</v>
      </c>
      <c r="G470">
        <v>12.9239692346488</v>
      </c>
      <c r="H470">
        <v>4</v>
      </c>
      <c r="I470">
        <v>8.9239692346488493</v>
      </c>
      <c r="J470">
        <v>16.923969234648801</v>
      </c>
    </row>
    <row r="471" spans="1:10" x14ac:dyDescent="0.2">
      <c r="A471" t="str">
        <f t="shared" si="7"/>
        <v>2015FemaleAllEth23</v>
      </c>
      <c r="B471">
        <v>2015</v>
      </c>
      <c r="C471" t="s">
        <v>5</v>
      </c>
      <c r="D471" t="s">
        <v>24</v>
      </c>
      <c r="E471">
        <v>23</v>
      </c>
      <c r="F471">
        <v>36</v>
      </c>
      <c r="G471">
        <v>5.8878367106618903</v>
      </c>
      <c r="H471">
        <v>1.9</v>
      </c>
      <c r="I471">
        <v>3.9878367106618899</v>
      </c>
      <c r="J471">
        <v>7.7878367106618898</v>
      </c>
    </row>
    <row r="472" spans="1:10" x14ac:dyDescent="0.2">
      <c r="A472" t="str">
        <f t="shared" si="7"/>
        <v>2015FemaleAllEth24</v>
      </c>
      <c r="B472">
        <v>2015</v>
      </c>
      <c r="C472" t="s">
        <v>5</v>
      </c>
      <c r="D472" t="s">
        <v>24</v>
      </c>
      <c r="E472">
        <v>24</v>
      </c>
      <c r="F472">
        <v>46</v>
      </c>
      <c r="G472">
        <v>7.6087136311758803</v>
      </c>
      <c r="H472">
        <v>2.2000000000000002</v>
      </c>
      <c r="I472">
        <v>5.4087136311758801</v>
      </c>
      <c r="J472">
        <v>9.8087136311758805</v>
      </c>
    </row>
    <row r="473" spans="1:10" x14ac:dyDescent="0.2">
      <c r="A473" t="str">
        <f t="shared" si="7"/>
        <v>2015FemaleAllEth25</v>
      </c>
      <c r="B473">
        <v>2015</v>
      </c>
      <c r="C473" t="s">
        <v>5</v>
      </c>
      <c r="D473" t="s">
        <v>24</v>
      </c>
      <c r="E473">
        <v>25</v>
      </c>
      <c r="F473">
        <v>16</v>
      </c>
      <c r="G473">
        <v>4.42575791104227</v>
      </c>
      <c r="H473">
        <v>2.2000000000000002</v>
      </c>
      <c r="I473">
        <v>2.2257579110422698</v>
      </c>
      <c r="J473">
        <v>6.6257579110422702</v>
      </c>
    </row>
    <row r="474" spans="1:10" x14ac:dyDescent="0.2">
      <c r="A474" t="str">
        <f t="shared" si="7"/>
        <v>2015FemaleMaori21</v>
      </c>
      <c r="B474">
        <v>2015</v>
      </c>
      <c r="C474" t="s">
        <v>5</v>
      </c>
      <c r="D474" t="s">
        <v>15</v>
      </c>
      <c r="E474">
        <v>21</v>
      </c>
      <c r="F474">
        <v>1</v>
      </c>
      <c r="G474">
        <v>0.87435516306723804</v>
      </c>
      <c r="H474">
        <v>1.7</v>
      </c>
      <c r="I474">
        <v>-0.82564483693276203</v>
      </c>
      <c r="J474">
        <v>2.5743551630672399</v>
      </c>
    </row>
    <row r="475" spans="1:10" x14ac:dyDescent="0.2">
      <c r="A475" t="str">
        <f t="shared" si="7"/>
        <v>2015FemaleMaori22</v>
      </c>
      <c r="B475">
        <v>2015</v>
      </c>
      <c r="C475" t="s">
        <v>5</v>
      </c>
      <c r="D475" t="s">
        <v>15</v>
      </c>
      <c r="E475">
        <v>22</v>
      </c>
      <c r="F475">
        <v>22</v>
      </c>
      <c r="G475">
        <v>33.747507286393599</v>
      </c>
      <c r="H475">
        <v>14.1</v>
      </c>
      <c r="I475">
        <v>19.647507286393601</v>
      </c>
      <c r="J475">
        <v>47.847507286393601</v>
      </c>
    </row>
    <row r="476" spans="1:10" x14ac:dyDescent="0.2">
      <c r="A476" t="str">
        <f t="shared" si="7"/>
        <v>2015FemaleMaori23</v>
      </c>
      <c r="B476">
        <v>2015</v>
      </c>
      <c r="C476" t="s">
        <v>5</v>
      </c>
      <c r="D476" t="s">
        <v>15</v>
      </c>
      <c r="E476">
        <v>23</v>
      </c>
      <c r="F476">
        <v>14</v>
      </c>
      <c r="G476">
        <v>15.1909722222222</v>
      </c>
      <c r="H476">
        <v>8</v>
      </c>
      <c r="I476">
        <v>7.1909722222222197</v>
      </c>
      <c r="J476">
        <v>23.1909722222222</v>
      </c>
    </row>
    <row r="477" spans="1:10" x14ac:dyDescent="0.2">
      <c r="A477" t="str">
        <f t="shared" si="7"/>
        <v>2015FemaleMaori24</v>
      </c>
      <c r="B477">
        <v>2015</v>
      </c>
      <c r="C477" t="s">
        <v>5</v>
      </c>
      <c r="D477" t="s">
        <v>15</v>
      </c>
      <c r="E477">
        <v>24</v>
      </c>
      <c r="F477">
        <v>3</v>
      </c>
      <c r="G477">
        <v>4.2211903756859401</v>
      </c>
      <c r="H477">
        <v>4.8</v>
      </c>
      <c r="I477">
        <v>-0.57880962431405603</v>
      </c>
      <c r="J477">
        <v>9.02119037568594</v>
      </c>
    </row>
    <row r="478" spans="1:10" x14ac:dyDescent="0.2">
      <c r="A478" t="str">
        <f t="shared" si="7"/>
        <v>2015FemaleMaori25</v>
      </c>
      <c r="B478">
        <v>2015</v>
      </c>
      <c r="C478" t="s">
        <v>5</v>
      </c>
      <c r="D478" t="s">
        <v>15</v>
      </c>
      <c r="E478">
        <v>25</v>
      </c>
      <c r="F478">
        <v>0</v>
      </c>
      <c r="G478">
        <v>0</v>
      </c>
    </row>
    <row r="479" spans="1:10" x14ac:dyDescent="0.2">
      <c r="A479" t="str">
        <f t="shared" si="7"/>
        <v>2015FemaleNon-Maori21</v>
      </c>
      <c r="B479">
        <v>2015</v>
      </c>
      <c r="C479" t="s">
        <v>5</v>
      </c>
      <c r="D479" t="s">
        <v>16</v>
      </c>
      <c r="E479">
        <v>21</v>
      </c>
      <c r="F479">
        <v>3</v>
      </c>
      <c r="G479">
        <v>0.905633037493208</v>
      </c>
      <c r="H479">
        <v>1</v>
      </c>
      <c r="I479">
        <v>-9.4366962506792301E-2</v>
      </c>
      <c r="J479">
        <v>1.90563303749321</v>
      </c>
    </row>
    <row r="480" spans="1:10" x14ac:dyDescent="0.2">
      <c r="A480" t="str">
        <f t="shared" si="7"/>
        <v>2015FemaleNon-Maori22</v>
      </c>
      <c r="B480">
        <v>2015</v>
      </c>
      <c r="C480" t="s">
        <v>5</v>
      </c>
      <c r="D480" t="s">
        <v>16</v>
      </c>
      <c r="E480">
        <v>22</v>
      </c>
      <c r="F480">
        <v>19</v>
      </c>
      <c r="G480">
        <v>7.5381868676849804</v>
      </c>
      <c r="H480">
        <v>3.4</v>
      </c>
      <c r="I480">
        <v>4.13818686768498</v>
      </c>
      <c r="J480">
        <v>10.938186867684999</v>
      </c>
    </row>
    <row r="481" spans="1:10" x14ac:dyDescent="0.2">
      <c r="A481" t="str">
        <f t="shared" si="7"/>
        <v>2015FemaleNon-Maori23</v>
      </c>
      <c r="B481">
        <v>2015</v>
      </c>
      <c r="C481" t="s">
        <v>5</v>
      </c>
      <c r="D481" t="s">
        <v>16</v>
      </c>
      <c r="E481">
        <v>23</v>
      </c>
      <c r="F481">
        <v>22</v>
      </c>
      <c r="G481">
        <v>4.2367169295356897</v>
      </c>
      <c r="H481">
        <v>1.8</v>
      </c>
      <c r="I481">
        <v>2.4367169295356899</v>
      </c>
      <c r="J481">
        <v>6.0367169295356904</v>
      </c>
    </row>
    <row r="482" spans="1:10" x14ac:dyDescent="0.2">
      <c r="A482" t="str">
        <f t="shared" si="7"/>
        <v>2015FemaleNon-Maori24</v>
      </c>
      <c r="B482">
        <v>2015</v>
      </c>
      <c r="C482" t="s">
        <v>5</v>
      </c>
      <c r="D482" t="s">
        <v>16</v>
      </c>
      <c r="E482">
        <v>24</v>
      </c>
      <c r="F482">
        <v>43</v>
      </c>
      <c r="G482">
        <v>8.0599812558575401</v>
      </c>
      <c r="H482">
        <v>2.4</v>
      </c>
      <c r="I482">
        <v>5.6599812558575398</v>
      </c>
      <c r="J482">
        <v>10.4599812558575</v>
      </c>
    </row>
    <row r="483" spans="1:10" x14ac:dyDescent="0.2">
      <c r="A483" t="str">
        <f t="shared" si="7"/>
        <v>2015FemaleNon-Maori25</v>
      </c>
      <c r="B483">
        <v>2015</v>
      </c>
      <c r="C483" t="s">
        <v>5</v>
      </c>
      <c r="D483" t="s">
        <v>16</v>
      </c>
      <c r="E483">
        <v>25</v>
      </c>
      <c r="F483">
        <v>16</v>
      </c>
      <c r="G483">
        <v>4.7162859248341897</v>
      </c>
      <c r="H483">
        <v>2.2999999999999998</v>
      </c>
      <c r="I483">
        <v>2.4162859248341899</v>
      </c>
      <c r="J483">
        <v>7.0162859248341896</v>
      </c>
    </row>
    <row r="484" spans="1:10" x14ac:dyDescent="0.2">
      <c r="A484" t="str">
        <f t="shared" si="7"/>
        <v>2015MaleAllEth21</v>
      </c>
      <c r="B484">
        <v>2015</v>
      </c>
      <c r="C484" t="s">
        <v>17</v>
      </c>
      <c r="D484" t="s">
        <v>24</v>
      </c>
      <c r="E484">
        <v>21</v>
      </c>
      <c r="F484">
        <v>5</v>
      </c>
      <c r="G484">
        <v>1.0665301508073599</v>
      </c>
      <c r="H484">
        <v>0.9</v>
      </c>
      <c r="I484">
        <v>0.166530150807363</v>
      </c>
      <c r="J484">
        <v>1.96653015080736</v>
      </c>
    </row>
    <row r="485" spans="1:10" x14ac:dyDescent="0.2">
      <c r="A485" t="str">
        <f t="shared" si="7"/>
        <v>2015MaleAllEth22</v>
      </c>
      <c r="B485">
        <v>2015</v>
      </c>
      <c r="C485" t="s">
        <v>17</v>
      </c>
      <c r="D485" t="s">
        <v>24</v>
      </c>
      <c r="E485">
        <v>22</v>
      </c>
      <c r="F485">
        <v>70</v>
      </c>
      <c r="G485">
        <v>20.629494282683002</v>
      </c>
      <c r="H485">
        <v>4.8</v>
      </c>
      <c r="I485">
        <v>15.829494282682999</v>
      </c>
      <c r="J485">
        <v>25.429494282682999</v>
      </c>
    </row>
    <row r="486" spans="1:10" x14ac:dyDescent="0.2">
      <c r="A486" t="str">
        <f t="shared" si="7"/>
        <v>2015MaleAllEth23</v>
      </c>
      <c r="B486">
        <v>2015</v>
      </c>
      <c r="C486" t="s">
        <v>17</v>
      </c>
      <c r="D486" t="s">
        <v>24</v>
      </c>
      <c r="E486">
        <v>23</v>
      </c>
      <c r="F486">
        <v>137</v>
      </c>
      <c r="G486">
        <v>23.9192681053146</v>
      </c>
      <c r="H486">
        <v>4</v>
      </c>
      <c r="I486">
        <v>19.9192681053146</v>
      </c>
      <c r="J486">
        <v>27.9192681053146</v>
      </c>
    </row>
    <row r="487" spans="1:10" x14ac:dyDescent="0.2">
      <c r="A487" t="str">
        <f t="shared" si="7"/>
        <v>2015MaleAllEth24</v>
      </c>
      <c r="B487">
        <v>2015</v>
      </c>
      <c r="C487" t="s">
        <v>17</v>
      </c>
      <c r="D487" t="s">
        <v>24</v>
      </c>
      <c r="E487">
        <v>24</v>
      </c>
      <c r="F487">
        <v>125</v>
      </c>
      <c r="G487">
        <v>22.1094150733148</v>
      </c>
      <c r="H487">
        <v>3.9</v>
      </c>
      <c r="I487">
        <v>18.209415073314801</v>
      </c>
      <c r="J487">
        <v>26.009415073314798</v>
      </c>
    </row>
    <row r="488" spans="1:10" x14ac:dyDescent="0.2">
      <c r="A488" t="str">
        <f t="shared" si="7"/>
        <v>2015MaleAllEth25</v>
      </c>
      <c r="B488">
        <v>2015</v>
      </c>
      <c r="C488" t="s">
        <v>17</v>
      </c>
      <c r="D488" t="s">
        <v>24</v>
      </c>
      <c r="E488">
        <v>25</v>
      </c>
      <c r="F488">
        <v>49</v>
      </c>
      <c r="G488">
        <v>15.671474717753499</v>
      </c>
      <c r="H488">
        <v>4.4000000000000004</v>
      </c>
      <c r="I488">
        <v>11.271474717753501</v>
      </c>
      <c r="J488">
        <v>20.0714747177535</v>
      </c>
    </row>
    <row r="489" spans="1:10" x14ac:dyDescent="0.2">
      <c r="A489" t="str">
        <f t="shared" si="7"/>
        <v>2015MaleMaori21</v>
      </c>
      <c r="B489">
        <v>2015</v>
      </c>
      <c r="C489" t="s">
        <v>17</v>
      </c>
      <c r="D489" t="s">
        <v>15</v>
      </c>
      <c r="E489">
        <v>21</v>
      </c>
      <c r="F489">
        <v>3</v>
      </c>
      <c r="G489">
        <v>2.4801587301587298</v>
      </c>
      <c r="H489">
        <v>2.8</v>
      </c>
      <c r="I489">
        <v>-0.31984126984126998</v>
      </c>
      <c r="J489">
        <v>5.2801587301587301</v>
      </c>
    </row>
    <row r="490" spans="1:10" x14ac:dyDescent="0.2">
      <c r="A490" t="str">
        <f t="shared" si="7"/>
        <v>2015MaleMaori22</v>
      </c>
      <c r="B490">
        <v>2015</v>
      </c>
      <c r="C490" t="s">
        <v>17</v>
      </c>
      <c r="D490" t="s">
        <v>15</v>
      </c>
      <c r="E490">
        <v>22</v>
      </c>
      <c r="F490">
        <v>20</v>
      </c>
      <c r="G490">
        <v>29.899835550904498</v>
      </c>
      <c r="H490">
        <v>13.1</v>
      </c>
      <c r="I490">
        <v>16.799835550904501</v>
      </c>
      <c r="J490">
        <v>42.9998355509045</v>
      </c>
    </row>
    <row r="491" spans="1:10" x14ac:dyDescent="0.2">
      <c r="A491" t="str">
        <f t="shared" si="7"/>
        <v>2015MaleMaori23</v>
      </c>
      <c r="B491">
        <v>2015</v>
      </c>
      <c r="C491" t="s">
        <v>17</v>
      </c>
      <c r="D491" t="s">
        <v>15</v>
      </c>
      <c r="E491">
        <v>23</v>
      </c>
      <c r="F491">
        <v>40</v>
      </c>
      <c r="G491">
        <v>51.026916698558502</v>
      </c>
      <c r="H491">
        <v>15.8</v>
      </c>
      <c r="I491">
        <v>35.226916698558497</v>
      </c>
      <c r="J491">
        <v>66.826916698558506</v>
      </c>
    </row>
    <row r="492" spans="1:10" x14ac:dyDescent="0.2">
      <c r="A492" t="str">
        <f t="shared" si="7"/>
        <v>2015MaleMaori24</v>
      </c>
      <c r="B492">
        <v>2015</v>
      </c>
      <c r="C492" t="s">
        <v>17</v>
      </c>
      <c r="D492" t="s">
        <v>15</v>
      </c>
      <c r="E492">
        <v>24</v>
      </c>
      <c r="F492">
        <v>15</v>
      </c>
      <c r="G492">
        <v>23.996160614301701</v>
      </c>
      <c r="H492">
        <v>12.1</v>
      </c>
      <c r="I492">
        <v>11.896160614301699</v>
      </c>
      <c r="J492">
        <v>36.096160614301702</v>
      </c>
    </row>
    <row r="493" spans="1:10" x14ac:dyDescent="0.2">
      <c r="A493" t="str">
        <f t="shared" si="7"/>
        <v>2015MaleMaori25</v>
      </c>
      <c r="B493">
        <v>2015</v>
      </c>
      <c r="C493" t="s">
        <v>17</v>
      </c>
      <c r="D493" t="s">
        <v>15</v>
      </c>
      <c r="E493">
        <v>25</v>
      </c>
      <c r="F493">
        <v>0</v>
      </c>
      <c r="G493">
        <v>0</v>
      </c>
    </row>
    <row r="494" spans="1:10" x14ac:dyDescent="0.2">
      <c r="A494" t="str">
        <f t="shared" si="7"/>
        <v>2015MaleNon-Maori21</v>
      </c>
      <c r="B494">
        <v>2015</v>
      </c>
      <c r="C494" t="s">
        <v>17</v>
      </c>
      <c r="D494" t="s">
        <v>16</v>
      </c>
      <c r="E494">
        <v>21</v>
      </c>
      <c r="F494">
        <v>2</v>
      </c>
      <c r="G494">
        <v>0.574960471467587</v>
      </c>
      <c r="H494">
        <v>0.8</v>
      </c>
      <c r="I494">
        <v>-0.22503952853241299</v>
      </c>
      <c r="J494">
        <v>1.37496047146759</v>
      </c>
    </row>
    <row r="495" spans="1:10" x14ac:dyDescent="0.2">
      <c r="A495" t="str">
        <f t="shared" si="7"/>
        <v>2015MaleNon-Maori22</v>
      </c>
      <c r="B495">
        <v>2015</v>
      </c>
      <c r="C495" t="s">
        <v>17</v>
      </c>
      <c r="D495" t="s">
        <v>16</v>
      </c>
      <c r="E495">
        <v>22</v>
      </c>
      <c r="F495">
        <v>50</v>
      </c>
      <c r="G495">
        <v>18.353338472268099</v>
      </c>
      <c r="H495">
        <v>5.0999999999999996</v>
      </c>
      <c r="I495">
        <v>13.2533384722681</v>
      </c>
      <c r="J495">
        <v>23.453338472268101</v>
      </c>
    </row>
    <row r="496" spans="1:10" x14ac:dyDescent="0.2">
      <c r="A496" t="str">
        <f t="shared" si="7"/>
        <v>2015MaleNon-Maori23</v>
      </c>
      <c r="B496">
        <v>2015</v>
      </c>
      <c r="C496" t="s">
        <v>17</v>
      </c>
      <c r="D496" t="s">
        <v>16</v>
      </c>
      <c r="E496">
        <v>23</v>
      </c>
      <c r="F496">
        <v>97</v>
      </c>
      <c r="G496">
        <v>19.620931690838798</v>
      </c>
      <c r="H496">
        <v>3.9</v>
      </c>
      <c r="I496">
        <v>15.7209316908388</v>
      </c>
      <c r="J496">
        <v>23.5209316908388</v>
      </c>
    </row>
    <row r="497" spans="1:10" x14ac:dyDescent="0.2">
      <c r="A497" t="str">
        <f t="shared" si="7"/>
        <v>2015MaleNon-Maori24</v>
      </c>
      <c r="B497">
        <v>2015</v>
      </c>
      <c r="C497" t="s">
        <v>17</v>
      </c>
      <c r="D497" t="s">
        <v>16</v>
      </c>
      <c r="E497">
        <v>24</v>
      </c>
      <c r="F497">
        <v>110</v>
      </c>
      <c r="G497">
        <v>21.874875710933502</v>
      </c>
      <c r="H497">
        <v>4.0999999999999996</v>
      </c>
      <c r="I497">
        <v>17.7748757109335</v>
      </c>
      <c r="J497">
        <v>25.9748757109335</v>
      </c>
    </row>
    <row r="498" spans="1:10" x14ac:dyDescent="0.2">
      <c r="A498" t="str">
        <f t="shared" si="7"/>
        <v>2015MaleNon-Maori25</v>
      </c>
      <c r="B498">
        <v>2015</v>
      </c>
      <c r="C498" t="s">
        <v>17</v>
      </c>
      <c r="D498" t="s">
        <v>16</v>
      </c>
      <c r="E498">
        <v>25</v>
      </c>
      <c r="F498">
        <v>49</v>
      </c>
      <c r="G498">
        <v>16.6547704020937</v>
      </c>
      <c r="H498">
        <v>4.7</v>
      </c>
      <c r="I498">
        <v>11.9547704020937</v>
      </c>
      <c r="J498">
        <v>21.354770402093699</v>
      </c>
    </row>
    <row r="499" spans="1:10" x14ac:dyDescent="0.2">
      <c r="A499" t="str">
        <f t="shared" si="7"/>
        <v>2016AllSexAllEth21</v>
      </c>
      <c r="B499">
        <v>2016</v>
      </c>
      <c r="C499" t="s">
        <v>14</v>
      </c>
      <c r="D499" t="s">
        <v>24</v>
      </c>
      <c r="E499">
        <v>21</v>
      </c>
      <c r="F499">
        <v>8</v>
      </c>
      <c r="G499">
        <v>0.86777307734027598</v>
      </c>
      <c r="H499">
        <v>0.6</v>
      </c>
      <c r="I499">
        <v>0.267773077340276</v>
      </c>
      <c r="J499">
        <v>1.46777307734028</v>
      </c>
    </row>
    <row r="500" spans="1:10" x14ac:dyDescent="0.2">
      <c r="A500" t="str">
        <f t="shared" si="7"/>
        <v>2016AllSexAllEth22</v>
      </c>
      <c r="B500">
        <v>2016</v>
      </c>
      <c r="C500" t="s">
        <v>14</v>
      </c>
      <c r="D500" t="s">
        <v>24</v>
      </c>
      <c r="E500">
        <v>22</v>
      </c>
      <c r="F500">
        <v>112</v>
      </c>
      <c r="G500">
        <v>16.765212184716699</v>
      </c>
      <c r="H500">
        <v>3.1</v>
      </c>
      <c r="I500">
        <v>13.665212184716699</v>
      </c>
      <c r="J500">
        <v>19.8652121847167</v>
      </c>
    </row>
    <row r="501" spans="1:10" x14ac:dyDescent="0.2">
      <c r="A501" t="str">
        <f t="shared" si="7"/>
        <v>2016AllSexAllEth23</v>
      </c>
      <c r="B501">
        <v>2016</v>
      </c>
      <c r="C501" t="s">
        <v>14</v>
      </c>
      <c r="D501" t="s">
        <v>24</v>
      </c>
      <c r="E501">
        <v>23</v>
      </c>
      <c r="F501">
        <v>199</v>
      </c>
      <c r="G501">
        <v>16.318029372452902</v>
      </c>
      <c r="H501">
        <v>2.2999999999999998</v>
      </c>
      <c r="I501">
        <v>14.018029372452901</v>
      </c>
      <c r="J501">
        <v>18.618029372452899</v>
      </c>
    </row>
    <row r="502" spans="1:10" x14ac:dyDescent="0.2">
      <c r="A502" t="str">
        <f t="shared" si="7"/>
        <v>2016AllSexAllEth24</v>
      </c>
      <c r="B502">
        <v>2016</v>
      </c>
      <c r="C502" t="s">
        <v>14</v>
      </c>
      <c r="D502" t="s">
        <v>24</v>
      </c>
      <c r="E502">
        <v>24</v>
      </c>
      <c r="F502">
        <v>170</v>
      </c>
      <c r="G502">
        <v>14.3032628266613</v>
      </c>
      <c r="H502">
        <v>2.2000000000000002</v>
      </c>
      <c r="I502">
        <v>12.1032628266613</v>
      </c>
      <c r="J502">
        <v>16.503262826661299</v>
      </c>
    </row>
    <row r="503" spans="1:10" x14ac:dyDescent="0.2">
      <c r="A503" t="str">
        <f t="shared" si="7"/>
        <v>2016AllSexAllEth25</v>
      </c>
      <c r="B503">
        <v>2016</v>
      </c>
      <c r="C503" t="s">
        <v>14</v>
      </c>
      <c r="D503" t="s">
        <v>24</v>
      </c>
      <c r="E503">
        <v>25</v>
      </c>
      <c r="F503">
        <v>64</v>
      </c>
      <c r="G503">
        <v>9.1626222279488605</v>
      </c>
      <c r="H503">
        <v>2.2000000000000002</v>
      </c>
      <c r="I503">
        <v>6.9626222279488603</v>
      </c>
      <c r="J503">
        <v>11.362622227948901</v>
      </c>
    </row>
    <row r="504" spans="1:10" x14ac:dyDescent="0.2">
      <c r="A504" t="str">
        <f t="shared" si="7"/>
        <v>2016AllSexMaori21</v>
      </c>
      <c r="B504">
        <v>2016</v>
      </c>
      <c r="C504" t="s">
        <v>14</v>
      </c>
      <c r="D504" t="s">
        <v>15</v>
      </c>
      <c r="E504">
        <v>21</v>
      </c>
      <c r="F504">
        <v>4</v>
      </c>
      <c r="G504">
        <v>1.6889039013680101</v>
      </c>
      <c r="H504">
        <v>1.7</v>
      </c>
      <c r="I504">
        <v>-1.10960986319879E-2</v>
      </c>
      <c r="J504">
        <v>3.38890390136801</v>
      </c>
    </row>
    <row r="505" spans="1:10" x14ac:dyDescent="0.2">
      <c r="A505" t="str">
        <f t="shared" si="7"/>
        <v>2016AllSexMaori22</v>
      </c>
      <c r="B505">
        <v>2016</v>
      </c>
      <c r="C505" t="s">
        <v>14</v>
      </c>
      <c r="D505" t="s">
        <v>15</v>
      </c>
      <c r="E505">
        <v>22</v>
      </c>
      <c r="F505">
        <v>45</v>
      </c>
      <c r="G505">
        <v>33.554544776675897</v>
      </c>
      <c r="H505">
        <v>9.8000000000000007</v>
      </c>
      <c r="I505">
        <v>23.7545447766759</v>
      </c>
      <c r="J505">
        <v>43.354544776675901</v>
      </c>
    </row>
    <row r="506" spans="1:10" x14ac:dyDescent="0.2">
      <c r="A506" t="str">
        <f t="shared" si="7"/>
        <v>2016AllSexMaori23</v>
      </c>
      <c r="B506">
        <v>2016</v>
      </c>
      <c r="C506" t="s">
        <v>14</v>
      </c>
      <c r="D506" t="s">
        <v>15</v>
      </c>
      <c r="E506">
        <v>23</v>
      </c>
      <c r="F506">
        <v>59</v>
      </c>
      <c r="G506">
        <v>34.173182739646698</v>
      </c>
      <c r="H506">
        <v>8.6999999999999993</v>
      </c>
      <c r="I506">
        <v>25.473182739646699</v>
      </c>
      <c r="J506">
        <v>42.873182739646701</v>
      </c>
    </row>
    <row r="507" spans="1:10" x14ac:dyDescent="0.2">
      <c r="A507" t="str">
        <f t="shared" si="7"/>
        <v>2016AllSexMaori24</v>
      </c>
      <c r="B507">
        <v>2016</v>
      </c>
      <c r="C507" t="s">
        <v>14</v>
      </c>
      <c r="D507" t="s">
        <v>15</v>
      </c>
      <c r="E507">
        <v>24</v>
      </c>
      <c r="F507">
        <v>23</v>
      </c>
      <c r="G507">
        <v>16.806722689075599</v>
      </c>
      <c r="H507">
        <v>6.9</v>
      </c>
      <c r="I507">
        <v>9.9067226890756306</v>
      </c>
      <c r="J507">
        <v>23.706722689075601</v>
      </c>
    </row>
    <row r="508" spans="1:10" x14ac:dyDescent="0.2">
      <c r="A508" t="str">
        <f t="shared" si="7"/>
        <v>2016AllSexMaori25</v>
      </c>
      <c r="B508">
        <v>2016</v>
      </c>
      <c r="C508" t="s">
        <v>14</v>
      </c>
      <c r="D508" t="s">
        <v>15</v>
      </c>
      <c r="E508">
        <v>25</v>
      </c>
      <c r="F508">
        <v>4</v>
      </c>
      <c r="G508">
        <v>9.2980009298000894</v>
      </c>
      <c r="H508">
        <v>9.1</v>
      </c>
      <c r="I508">
        <v>0.19800092980009301</v>
      </c>
      <c r="J508">
        <v>18.398000929800101</v>
      </c>
    </row>
    <row r="509" spans="1:10" x14ac:dyDescent="0.2">
      <c r="A509" t="str">
        <f t="shared" si="7"/>
        <v>2016AllSexNon-Maori21</v>
      </c>
      <c r="B509">
        <v>2016</v>
      </c>
      <c r="C509" t="s">
        <v>14</v>
      </c>
      <c r="D509" t="s">
        <v>16</v>
      </c>
      <c r="E509">
        <v>21</v>
      </c>
      <c r="F509">
        <v>4</v>
      </c>
      <c r="G509">
        <v>0.58389046214930096</v>
      </c>
      <c r="H509">
        <v>0.6</v>
      </c>
      <c r="I509">
        <v>-1.6109537850699199E-2</v>
      </c>
      <c r="J509">
        <v>1.1838904621493</v>
      </c>
    </row>
    <row r="510" spans="1:10" x14ac:dyDescent="0.2">
      <c r="A510" t="str">
        <f t="shared" si="7"/>
        <v>2016AllSexNon-Maori22</v>
      </c>
      <c r="B510">
        <v>2016</v>
      </c>
      <c r="C510" t="s">
        <v>14</v>
      </c>
      <c r="D510" t="s">
        <v>16</v>
      </c>
      <c r="E510">
        <v>22</v>
      </c>
      <c r="F510">
        <v>67</v>
      </c>
      <c r="G510">
        <v>12.5482263924786</v>
      </c>
      <c r="H510">
        <v>3</v>
      </c>
      <c r="I510">
        <v>9.5482263924785595</v>
      </c>
      <c r="J510">
        <v>15.5482263924786</v>
      </c>
    </row>
    <row r="511" spans="1:10" x14ac:dyDescent="0.2">
      <c r="A511" t="str">
        <f t="shared" si="7"/>
        <v>2016AllSexNon-Maori23</v>
      </c>
      <c r="B511">
        <v>2016</v>
      </c>
      <c r="C511" t="s">
        <v>14</v>
      </c>
      <c r="D511" t="s">
        <v>16</v>
      </c>
      <c r="E511">
        <v>23</v>
      </c>
      <c r="F511">
        <v>140</v>
      </c>
      <c r="G511">
        <v>13.373325946162799</v>
      </c>
      <c r="H511">
        <v>2.2000000000000002</v>
      </c>
      <c r="I511">
        <v>11.1733259461628</v>
      </c>
      <c r="J511">
        <v>15.5733259461628</v>
      </c>
    </row>
    <row r="512" spans="1:10" x14ac:dyDescent="0.2">
      <c r="A512" t="str">
        <f t="shared" si="7"/>
        <v>2016AllSexNon-Maori24</v>
      </c>
      <c r="B512">
        <v>2016</v>
      </c>
      <c r="C512" t="s">
        <v>14</v>
      </c>
      <c r="D512" t="s">
        <v>16</v>
      </c>
      <c r="E512">
        <v>24</v>
      </c>
      <c r="F512">
        <v>147</v>
      </c>
      <c r="G512">
        <v>13.9775028763229</v>
      </c>
      <c r="H512">
        <v>2.2999999999999998</v>
      </c>
      <c r="I512">
        <v>11.677502876322899</v>
      </c>
      <c r="J512">
        <v>16.277502876322899</v>
      </c>
    </row>
    <row r="513" spans="1:10" x14ac:dyDescent="0.2">
      <c r="A513" t="str">
        <f t="shared" si="7"/>
        <v>2016AllSexNon-Maori25</v>
      </c>
      <c r="B513">
        <v>2016</v>
      </c>
      <c r="C513" t="s">
        <v>14</v>
      </c>
      <c r="D513" t="s">
        <v>16</v>
      </c>
      <c r="E513">
        <v>25</v>
      </c>
      <c r="F513">
        <v>60</v>
      </c>
      <c r="G513">
        <v>9.1537370131356095</v>
      </c>
      <c r="H513">
        <v>2.2999999999999998</v>
      </c>
      <c r="I513">
        <v>6.8537370131356097</v>
      </c>
      <c r="J513">
        <v>11.4537370131356</v>
      </c>
    </row>
    <row r="514" spans="1:10" x14ac:dyDescent="0.2">
      <c r="A514" t="str">
        <f t="shared" si="7"/>
        <v>2016FemaleAllEth21</v>
      </c>
      <c r="B514">
        <v>2016</v>
      </c>
      <c r="C514" t="s">
        <v>5</v>
      </c>
      <c r="D514" t="s">
        <v>24</v>
      </c>
      <c r="E514">
        <v>21</v>
      </c>
      <c r="F514">
        <v>3</v>
      </c>
      <c r="G514">
        <v>0.66806217431968995</v>
      </c>
      <c r="H514">
        <v>0.8</v>
      </c>
      <c r="I514">
        <v>-0.13193782568031001</v>
      </c>
      <c r="J514">
        <v>1.46806217431969</v>
      </c>
    </row>
    <row r="515" spans="1:10" x14ac:dyDescent="0.2">
      <c r="A515" t="str">
        <f t="shared" si="7"/>
        <v>2016FemaleAllEth22</v>
      </c>
      <c r="B515">
        <v>2016</v>
      </c>
      <c r="C515" t="s">
        <v>5</v>
      </c>
      <c r="D515" t="s">
        <v>24</v>
      </c>
      <c r="E515">
        <v>22</v>
      </c>
      <c r="F515">
        <v>26</v>
      </c>
      <c r="G515">
        <v>8.07930145116684</v>
      </c>
      <c r="H515">
        <v>3.1</v>
      </c>
      <c r="I515">
        <v>4.9793014511668403</v>
      </c>
      <c r="J515">
        <v>11.179301451166801</v>
      </c>
    </row>
    <row r="516" spans="1:10" x14ac:dyDescent="0.2">
      <c r="A516" t="str">
        <f t="shared" ref="A516:A579" si="8">B516&amp;C516&amp;D516&amp;E516</f>
        <v>2016FemaleAllEth23</v>
      </c>
      <c r="B516">
        <v>2016</v>
      </c>
      <c r="C516" t="s">
        <v>5</v>
      </c>
      <c r="D516" t="s">
        <v>24</v>
      </c>
      <c r="E516">
        <v>23</v>
      </c>
      <c r="F516">
        <v>57</v>
      </c>
      <c r="G516">
        <v>9.1020870926017601</v>
      </c>
      <c r="H516">
        <v>2.4</v>
      </c>
      <c r="I516">
        <v>6.7020870926017597</v>
      </c>
      <c r="J516">
        <v>11.5020870926018</v>
      </c>
    </row>
    <row r="517" spans="1:10" x14ac:dyDescent="0.2">
      <c r="A517" t="str">
        <f t="shared" si="8"/>
        <v>2016FemaleAllEth24</v>
      </c>
      <c r="B517">
        <v>2016</v>
      </c>
      <c r="C517" t="s">
        <v>5</v>
      </c>
      <c r="D517" t="s">
        <v>24</v>
      </c>
      <c r="E517">
        <v>24</v>
      </c>
      <c r="F517">
        <v>43</v>
      </c>
      <c r="G517">
        <v>6.9892560505827097</v>
      </c>
      <c r="H517">
        <v>2.1</v>
      </c>
      <c r="I517">
        <v>4.8892560505827101</v>
      </c>
      <c r="J517">
        <v>9.0892560505827102</v>
      </c>
    </row>
    <row r="518" spans="1:10" x14ac:dyDescent="0.2">
      <c r="A518" t="str">
        <f t="shared" si="8"/>
        <v>2016FemaleAllEth25</v>
      </c>
      <c r="B518">
        <v>2016</v>
      </c>
      <c r="C518" t="s">
        <v>5</v>
      </c>
      <c r="D518" t="s">
        <v>24</v>
      </c>
      <c r="E518">
        <v>25</v>
      </c>
      <c r="F518">
        <v>12</v>
      </c>
      <c r="G518">
        <v>3.2110459982339199</v>
      </c>
      <c r="H518">
        <v>1.8</v>
      </c>
      <c r="I518">
        <v>1.4110459982339201</v>
      </c>
      <c r="J518">
        <v>5.0110459982339304</v>
      </c>
    </row>
    <row r="519" spans="1:10" x14ac:dyDescent="0.2">
      <c r="A519" t="str">
        <f t="shared" si="8"/>
        <v>2016FemaleMaori21</v>
      </c>
      <c r="B519">
        <v>2016</v>
      </c>
      <c r="C519" t="s">
        <v>5</v>
      </c>
      <c r="D519" t="s">
        <v>15</v>
      </c>
      <c r="E519">
        <v>21</v>
      </c>
      <c r="F519">
        <v>2</v>
      </c>
      <c r="G519">
        <v>1.7376194613379701</v>
      </c>
      <c r="H519">
        <v>2.4</v>
      </c>
      <c r="I519">
        <v>-0.66238053866203295</v>
      </c>
      <c r="J519">
        <v>4.1376194613379704</v>
      </c>
    </row>
    <row r="520" spans="1:10" x14ac:dyDescent="0.2">
      <c r="A520" t="str">
        <f t="shared" si="8"/>
        <v>2016FemaleMaori22</v>
      </c>
      <c r="B520">
        <v>2016</v>
      </c>
      <c r="C520" t="s">
        <v>5</v>
      </c>
      <c r="D520" t="s">
        <v>15</v>
      </c>
      <c r="E520">
        <v>22</v>
      </c>
      <c r="F520">
        <v>11</v>
      </c>
      <c r="G520">
        <v>16.714784987083998</v>
      </c>
      <c r="H520">
        <v>9.9</v>
      </c>
      <c r="I520">
        <v>6.81478498708403</v>
      </c>
      <c r="J520">
        <v>26.614784987084001</v>
      </c>
    </row>
    <row r="521" spans="1:10" x14ac:dyDescent="0.2">
      <c r="A521" t="str">
        <f t="shared" si="8"/>
        <v>2016FemaleMaori23</v>
      </c>
      <c r="B521">
        <v>2016</v>
      </c>
      <c r="C521" t="s">
        <v>5</v>
      </c>
      <c r="D521" t="s">
        <v>15</v>
      </c>
      <c r="E521">
        <v>23</v>
      </c>
      <c r="F521">
        <v>15</v>
      </c>
      <c r="G521">
        <v>16.101331043366301</v>
      </c>
      <c r="H521">
        <v>8.1</v>
      </c>
      <c r="I521">
        <v>8.0013310433662497</v>
      </c>
      <c r="J521">
        <v>24.201331043366299</v>
      </c>
    </row>
    <row r="522" spans="1:10" x14ac:dyDescent="0.2">
      <c r="A522" t="str">
        <f t="shared" si="8"/>
        <v>2016FemaleMaori24</v>
      </c>
      <c r="B522">
        <v>2016</v>
      </c>
      <c r="C522" t="s">
        <v>5</v>
      </c>
      <c r="D522" t="s">
        <v>15</v>
      </c>
      <c r="E522">
        <v>24</v>
      </c>
      <c r="F522">
        <v>8</v>
      </c>
      <c r="G522">
        <v>10.9664153529815</v>
      </c>
      <c r="H522">
        <v>7.6</v>
      </c>
      <c r="I522">
        <v>3.3664153529814902</v>
      </c>
      <c r="J522">
        <v>18.566415352981501</v>
      </c>
    </row>
    <row r="523" spans="1:10" x14ac:dyDescent="0.2">
      <c r="A523" t="str">
        <f t="shared" si="8"/>
        <v>2016FemaleMaori25</v>
      </c>
      <c r="B523">
        <v>2016</v>
      </c>
      <c r="C523" t="s">
        <v>5</v>
      </c>
      <c r="D523" t="s">
        <v>15</v>
      </c>
      <c r="E523">
        <v>25</v>
      </c>
      <c r="F523">
        <v>0</v>
      </c>
      <c r="G523">
        <v>0</v>
      </c>
    </row>
    <row r="524" spans="1:10" x14ac:dyDescent="0.2">
      <c r="A524" t="str">
        <f t="shared" si="8"/>
        <v>2016FemaleNon-Maori21</v>
      </c>
      <c r="B524">
        <v>2016</v>
      </c>
      <c r="C524" t="s">
        <v>5</v>
      </c>
      <c r="D524" t="s">
        <v>16</v>
      </c>
      <c r="E524">
        <v>21</v>
      </c>
      <c r="F524">
        <v>1</v>
      </c>
      <c r="G524">
        <v>0.29943705833033901</v>
      </c>
      <c r="H524">
        <v>0.6</v>
      </c>
      <c r="I524">
        <v>-0.30056294166966102</v>
      </c>
      <c r="J524">
        <v>0.89943705833033905</v>
      </c>
    </row>
    <row r="525" spans="1:10" x14ac:dyDescent="0.2">
      <c r="A525" t="str">
        <f t="shared" si="8"/>
        <v>2016FemaleNon-Maori22</v>
      </c>
      <c r="B525">
        <v>2016</v>
      </c>
      <c r="C525" t="s">
        <v>5</v>
      </c>
      <c r="D525" t="s">
        <v>16</v>
      </c>
      <c r="E525">
        <v>22</v>
      </c>
      <c r="F525">
        <v>15</v>
      </c>
      <c r="G525">
        <v>5.859375</v>
      </c>
      <c r="H525">
        <v>3</v>
      </c>
      <c r="I525">
        <v>2.859375</v>
      </c>
      <c r="J525">
        <v>8.859375</v>
      </c>
    </row>
    <row r="526" spans="1:10" x14ac:dyDescent="0.2">
      <c r="A526" t="str">
        <f t="shared" si="8"/>
        <v>2016FemaleNon-Maori23</v>
      </c>
      <c r="B526">
        <v>2016</v>
      </c>
      <c r="C526" t="s">
        <v>5</v>
      </c>
      <c r="D526" t="s">
        <v>16</v>
      </c>
      <c r="E526">
        <v>23</v>
      </c>
      <c r="F526">
        <v>42</v>
      </c>
      <c r="G526">
        <v>7.87889020203726</v>
      </c>
      <c r="H526">
        <v>2.4</v>
      </c>
      <c r="I526">
        <v>5.4788902020372596</v>
      </c>
      <c r="J526">
        <v>10.278890202037299</v>
      </c>
    </row>
    <row r="527" spans="1:10" x14ac:dyDescent="0.2">
      <c r="A527" t="str">
        <f t="shared" si="8"/>
        <v>2016FemaleNon-Maori24</v>
      </c>
      <c r="B527">
        <v>2016</v>
      </c>
      <c r="C527" t="s">
        <v>5</v>
      </c>
      <c r="D527" t="s">
        <v>16</v>
      </c>
      <c r="E527">
        <v>24</v>
      </c>
      <c r="F527">
        <v>35</v>
      </c>
      <c r="G527">
        <v>6.4542302869366397</v>
      </c>
      <c r="H527">
        <v>2.1</v>
      </c>
      <c r="I527">
        <v>4.35423028693664</v>
      </c>
      <c r="J527">
        <v>8.5542302869366402</v>
      </c>
    </row>
    <row r="528" spans="1:10" x14ac:dyDescent="0.2">
      <c r="A528" t="str">
        <f t="shared" si="8"/>
        <v>2016FemaleNon-Maori25</v>
      </c>
      <c r="B528">
        <v>2016</v>
      </c>
      <c r="C528" t="s">
        <v>5</v>
      </c>
      <c r="D528" t="s">
        <v>16</v>
      </c>
      <c r="E528">
        <v>25</v>
      </c>
      <c r="F528">
        <v>12</v>
      </c>
      <c r="G528">
        <v>3.4264176803152302</v>
      </c>
      <c r="H528">
        <v>1.9</v>
      </c>
      <c r="I528">
        <v>1.5264176803152301</v>
      </c>
      <c r="J528">
        <v>5.3264176803152301</v>
      </c>
    </row>
    <row r="529" spans="1:10" x14ac:dyDescent="0.2">
      <c r="A529" t="str">
        <f t="shared" si="8"/>
        <v>2016MaleAllEth21</v>
      </c>
      <c r="B529">
        <v>2016</v>
      </c>
      <c r="C529" t="s">
        <v>17</v>
      </c>
      <c r="D529" t="s">
        <v>24</v>
      </c>
      <c r="E529">
        <v>21</v>
      </c>
      <c r="F529">
        <v>5</v>
      </c>
      <c r="G529">
        <v>1.0574625129539199</v>
      </c>
      <c r="H529">
        <v>0.9</v>
      </c>
      <c r="I529">
        <v>0.157462512953916</v>
      </c>
      <c r="J529">
        <v>1.95746251295392</v>
      </c>
    </row>
    <row r="530" spans="1:10" x14ac:dyDescent="0.2">
      <c r="A530" t="str">
        <f t="shared" si="8"/>
        <v>2016MaleAllEth22</v>
      </c>
      <c r="B530">
        <v>2016</v>
      </c>
      <c r="C530" t="s">
        <v>17</v>
      </c>
      <c r="D530" t="s">
        <v>24</v>
      </c>
      <c r="E530">
        <v>22</v>
      </c>
      <c r="F530">
        <v>86</v>
      </c>
      <c r="G530">
        <v>24.838262476894599</v>
      </c>
      <c r="H530">
        <v>5.2</v>
      </c>
      <c r="I530">
        <v>19.638262476894599</v>
      </c>
      <c r="J530">
        <v>30.038262476894602</v>
      </c>
    </row>
    <row r="531" spans="1:10" x14ac:dyDescent="0.2">
      <c r="A531" t="str">
        <f t="shared" si="8"/>
        <v>2016MaleAllEth23</v>
      </c>
      <c r="B531">
        <v>2016</v>
      </c>
      <c r="C531" t="s">
        <v>17</v>
      </c>
      <c r="D531" t="s">
        <v>24</v>
      </c>
      <c r="E531">
        <v>23</v>
      </c>
      <c r="F531">
        <v>142</v>
      </c>
      <c r="G531">
        <v>23.9351391440659</v>
      </c>
      <c r="H531">
        <v>3.9</v>
      </c>
      <c r="I531">
        <v>20.035139144065901</v>
      </c>
      <c r="J531">
        <v>27.835139144065899</v>
      </c>
    </row>
    <row r="532" spans="1:10" x14ac:dyDescent="0.2">
      <c r="A532" t="str">
        <f t="shared" si="8"/>
        <v>2016MaleAllEth24</v>
      </c>
      <c r="B532">
        <v>2016</v>
      </c>
      <c r="C532" t="s">
        <v>17</v>
      </c>
      <c r="D532" t="s">
        <v>24</v>
      </c>
      <c r="E532">
        <v>24</v>
      </c>
      <c r="F532">
        <v>127</v>
      </c>
      <c r="G532">
        <v>22.152064328199401</v>
      </c>
      <c r="H532">
        <v>3.9</v>
      </c>
      <c r="I532">
        <v>18.252064328199399</v>
      </c>
      <c r="J532">
        <v>26.0520643281994</v>
      </c>
    </row>
    <row r="533" spans="1:10" x14ac:dyDescent="0.2">
      <c r="A533" t="str">
        <f t="shared" si="8"/>
        <v>2016MaleAllEth25</v>
      </c>
      <c r="B533">
        <v>2016</v>
      </c>
      <c r="C533" t="s">
        <v>17</v>
      </c>
      <c r="D533" t="s">
        <v>24</v>
      </c>
      <c r="E533">
        <v>25</v>
      </c>
      <c r="F533">
        <v>52</v>
      </c>
      <c r="G533">
        <v>16.005909874415199</v>
      </c>
      <c r="H533">
        <v>4.4000000000000004</v>
      </c>
      <c r="I533">
        <v>11.6059098744152</v>
      </c>
      <c r="J533">
        <v>20.405909874415201</v>
      </c>
    </row>
    <row r="534" spans="1:10" x14ac:dyDescent="0.2">
      <c r="A534" t="str">
        <f t="shared" si="8"/>
        <v>2016MaleMaori21</v>
      </c>
      <c r="B534">
        <v>2016</v>
      </c>
      <c r="C534" t="s">
        <v>17</v>
      </c>
      <c r="D534" t="s">
        <v>15</v>
      </c>
      <c r="E534">
        <v>21</v>
      </c>
      <c r="F534">
        <v>2</v>
      </c>
      <c r="G534">
        <v>1.64284540824708</v>
      </c>
      <c r="H534">
        <v>2.2999999999999998</v>
      </c>
      <c r="I534">
        <v>-0.65715459175291602</v>
      </c>
      <c r="J534">
        <v>3.9428454082470799</v>
      </c>
    </row>
    <row r="535" spans="1:10" x14ac:dyDescent="0.2">
      <c r="A535" t="str">
        <f t="shared" si="8"/>
        <v>2016MaleMaori22</v>
      </c>
      <c r="B535">
        <v>2016</v>
      </c>
      <c r="C535" t="s">
        <v>17</v>
      </c>
      <c r="D535" t="s">
        <v>15</v>
      </c>
      <c r="E535">
        <v>22</v>
      </c>
      <c r="F535">
        <v>34</v>
      </c>
      <c r="G535">
        <v>49.773093251354098</v>
      </c>
      <c r="H535">
        <v>16.7</v>
      </c>
      <c r="I535">
        <v>33.073093251354102</v>
      </c>
      <c r="J535">
        <v>66.473093251354101</v>
      </c>
    </row>
    <row r="536" spans="1:10" x14ac:dyDescent="0.2">
      <c r="A536" t="str">
        <f t="shared" si="8"/>
        <v>2016MaleMaori23</v>
      </c>
      <c r="B536">
        <v>2016</v>
      </c>
      <c r="C536" t="s">
        <v>17</v>
      </c>
      <c r="D536" t="s">
        <v>15</v>
      </c>
      <c r="E536">
        <v>23</v>
      </c>
      <c r="F536">
        <v>44</v>
      </c>
      <c r="G536">
        <v>55.352874575418298</v>
      </c>
      <c r="H536">
        <v>16.399999999999999</v>
      </c>
      <c r="I536">
        <v>38.952874575418299</v>
      </c>
      <c r="J536">
        <v>71.752874575418303</v>
      </c>
    </row>
    <row r="537" spans="1:10" x14ac:dyDescent="0.2">
      <c r="A537" t="str">
        <f t="shared" si="8"/>
        <v>2016MaleMaori24</v>
      </c>
      <c r="B537">
        <v>2016</v>
      </c>
      <c r="C537" t="s">
        <v>17</v>
      </c>
      <c r="D537" t="s">
        <v>15</v>
      </c>
      <c r="E537">
        <v>24</v>
      </c>
      <c r="F537">
        <v>15</v>
      </c>
      <c r="G537">
        <v>23.470505398216201</v>
      </c>
      <c r="H537">
        <v>11.9</v>
      </c>
      <c r="I537">
        <v>11.5705053982162</v>
      </c>
      <c r="J537">
        <v>35.370505398216203</v>
      </c>
    </row>
    <row r="538" spans="1:10" x14ac:dyDescent="0.2">
      <c r="A538" t="str">
        <f t="shared" si="8"/>
        <v>2016MaleMaori25</v>
      </c>
      <c r="B538">
        <v>2016</v>
      </c>
      <c r="C538" t="s">
        <v>17</v>
      </c>
      <c r="D538" t="s">
        <v>15</v>
      </c>
      <c r="E538">
        <v>25</v>
      </c>
      <c r="F538">
        <v>4</v>
      </c>
      <c r="G538">
        <v>20.523345305284799</v>
      </c>
      <c r="H538">
        <v>20.100000000000001</v>
      </c>
      <c r="I538">
        <v>0.423345305284759</v>
      </c>
      <c r="J538">
        <v>40.623345305284801</v>
      </c>
    </row>
    <row r="539" spans="1:10" x14ac:dyDescent="0.2">
      <c r="A539" t="str">
        <f t="shared" si="8"/>
        <v>2016MaleNon-Maori21</v>
      </c>
      <c r="B539">
        <v>2016</v>
      </c>
      <c r="C539" t="s">
        <v>17</v>
      </c>
      <c r="D539" t="s">
        <v>16</v>
      </c>
      <c r="E539">
        <v>21</v>
      </c>
      <c r="F539">
        <v>3</v>
      </c>
      <c r="G539">
        <v>0.85448175681449201</v>
      </c>
      <c r="H539">
        <v>1</v>
      </c>
      <c r="I539">
        <v>-0.14551824318550799</v>
      </c>
      <c r="J539">
        <v>1.85448175681449</v>
      </c>
    </row>
    <row r="540" spans="1:10" x14ac:dyDescent="0.2">
      <c r="A540" t="str">
        <f t="shared" si="8"/>
        <v>2016MaleNon-Maori22</v>
      </c>
      <c r="B540">
        <v>2016</v>
      </c>
      <c r="C540" t="s">
        <v>17</v>
      </c>
      <c r="D540" t="s">
        <v>16</v>
      </c>
      <c r="E540">
        <v>22</v>
      </c>
      <c r="F540">
        <v>52</v>
      </c>
      <c r="G540">
        <v>18.709747058611899</v>
      </c>
      <c r="H540">
        <v>5.0999999999999996</v>
      </c>
      <c r="I540">
        <v>13.6097470586119</v>
      </c>
      <c r="J540">
        <v>23.809747058611901</v>
      </c>
    </row>
    <row r="541" spans="1:10" x14ac:dyDescent="0.2">
      <c r="A541" t="str">
        <f t="shared" si="8"/>
        <v>2016MaleNon-Maori23</v>
      </c>
      <c r="B541">
        <v>2016</v>
      </c>
      <c r="C541" t="s">
        <v>17</v>
      </c>
      <c r="D541" t="s">
        <v>16</v>
      </c>
      <c r="E541">
        <v>23</v>
      </c>
      <c r="F541">
        <v>98</v>
      </c>
      <c r="G541">
        <v>19.0743119623185</v>
      </c>
      <c r="H541">
        <v>3.8</v>
      </c>
      <c r="I541">
        <v>15.2743119623185</v>
      </c>
      <c r="J541">
        <v>22.874311962318501</v>
      </c>
    </row>
    <row r="542" spans="1:10" x14ac:dyDescent="0.2">
      <c r="A542" t="str">
        <f t="shared" si="8"/>
        <v>2016MaleNon-Maori24</v>
      </c>
      <c r="B542">
        <v>2016</v>
      </c>
      <c r="C542" t="s">
        <v>17</v>
      </c>
      <c r="D542" t="s">
        <v>16</v>
      </c>
      <c r="E542">
        <v>24</v>
      </c>
      <c r="F542">
        <v>112</v>
      </c>
      <c r="G542">
        <v>21.986650961915998</v>
      </c>
      <c r="H542">
        <v>4.0999999999999996</v>
      </c>
      <c r="I542">
        <v>17.886650961916001</v>
      </c>
      <c r="J542">
        <v>26.086650961916</v>
      </c>
    </row>
    <row r="543" spans="1:10" x14ac:dyDescent="0.2">
      <c r="A543" t="str">
        <f t="shared" si="8"/>
        <v>2016MaleNon-Maori25</v>
      </c>
      <c r="B543">
        <v>2016</v>
      </c>
      <c r="C543" t="s">
        <v>17</v>
      </c>
      <c r="D543" t="s">
        <v>16</v>
      </c>
      <c r="E543">
        <v>25</v>
      </c>
      <c r="F543">
        <v>48</v>
      </c>
      <c r="G543">
        <v>15.7176069943351</v>
      </c>
      <c r="H543">
        <v>4.4000000000000004</v>
      </c>
      <c r="I543">
        <v>11.317606994335099</v>
      </c>
      <c r="J543">
        <v>20.117606994335102</v>
      </c>
    </row>
    <row r="544" spans="1:10" x14ac:dyDescent="0.2">
      <c r="A544" t="str">
        <f t="shared" si="8"/>
        <v/>
      </c>
    </row>
    <row r="545" spans="1:1" x14ac:dyDescent="0.2">
      <c r="A545" t="str">
        <f t="shared" si="8"/>
        <v/>
      </c>
    </row>
    <row r="546" spans="1:1" x14ac:dyDescent="0.2">
      <c r="A546" t="str">
        <f t="shared" si="8"/>
        <v/>
      </c>
    </row>
    <row r="547" spans="1:1" x14ac:dyDescent="0.2">
      <c r="A547" t="str">
        <f t="shared" si="8"/>
        <v/>
      </c>
    </row>
    <row r="548" spans="1:1" x14ac:dyDescent="0.2">
      <c r="A548" t="str">
        <f t="shared" si="8"/>
        <v/>
      </c>
    </row>
    <row r="549" spans="1:1" x14ac:dyDescent="0.2">
      <c r="A549" t="str">
        <f t="shared" si="8"/>
        <v/>
      </c>
    </row>
    <row r="550" spans="1:1" x14ac:dyDescent="0.2">
      <c r="A550" t="str">
        <f t="shared" si="8"/>
        <v/>
      </c>
    </row>
    <row r="551" spans="1:1" x14ac:dyDescent="0.2">
      <c r="A551" t="str">
        <f t="shared" si="8"/>
        <v/>
      </c>
    </row>
    <row r="552" spans="1:1" x14ac:dyDescent="0.2">
      <c r="A552" t="str">
        <f t="shared" si="8"/>
        <v/>
      </c>
    </row>
    <row r="553" spans="1:1" x14ac:dyDescent="0.2">
      <c r="A553" t="str">
        <f t="shared" si="8"/>
        <v/>
      </c>
    </row>
    <row r="554" spans="1:1" x14ac:dyDescent="0.2">
      <c r="A554" t="str">
        <f t="shared" si="8"/>
        <v/>
      </c>
    </row>
    <row r="555" spans="1:1" x14ac:dyDescent="0.2">
      <c r="A555" t="str">
        <f t="shared" si="8"/>
        <v/>
      </c>
    </row>
    <row r="556" spans="1:1" x14ac:dyDescent="0.2">
      <c r="A556" t="str">
        <f t="shared" si="8"/>
        <v/>
      </c>
    </row>
    <row r="557" spans="1:1" x14ac:dyDescent="0.2">
      <c r="A557" t="str">
        <f t="shared" si="8"/>
        <v/>
      </c>
    </row>
    <row r="558" spans="1:1" x14ac:dyDescent="0.2">
      <c r="A558" t="str">
        <f t="shared" si="8"/>
        <v/>
      </c>
    </row>
    <row r="559" spans="1:1" x14ac:dyDescent="0.2">
      <c r="A559" t="str">
        <f t="shared" si="8"/>
        <v/>
      </c>
    </row>
    <row r="560" spans="1:1" x14ac:dyDescent="0.2">
      <c r="A560" t="str">
        <f t="shared" si="8"/>
        <v/>
      </c>
    </row>
    <row r="561" spans="1:1" x14ac:dyDescent="0.2">
      <c r="A561" t="str">
        <f t="shared" si="8"/>
        <v/>
      </c>
    </row>
    <row r="562" spans="1:1" x14ac:dyDescent="0.2">
      <c r="A562" t="str">
        <f t="shared" si="8"/>
        <v/>
      </c>
    </row>
    <row r="563" spans="1:1" x14ac:dyDescent="0.2">
      <c r="A563" t="str">
        <f t="shared" si="8"/>
        <v/>
      </c>
    </row>
    <row r="564" spans="1:1" x14ac:dyDescent="0.2">
      <c r="A564" t="str">
        <f t="shared" si="8"/>
        <v/>
      </c>
    </row>
    <row r="565" spans="1:1" x14ac:dyDescent="0.2">
      <c r="A565" t="str">
        <f t="shared" si="8"/>
        <v/>
      </c>
    </row>
    <row r="566" spans="1:1" x14ac:dyDescent="0.2">
      <c r="A566" t="str">
        <f t="shared" si="8"/>
        <v/>
      </c>
    </row>
    <row r="567" spans="1:1" x14ac:dyDescent="0.2">
      <c r="A567" t="str">
        <f t="shared" si="8"/>
        <v/>
      </c>
    </row>
    <row r="568" spans="1:1" x14ac:dyDescent="0.2">
      <c r="A568" t="str">
        <f t="shared" si="8"/>
        <v/>
      </c>
    </row>
    <row r="569" spans="1:1" x14ac:dyDescent="0.2">
      <c r="A569" t="str">
        <f t="shared" si="8"/>
        <v/>
      </c>
    </row>
    <row r="570" spans="1:1" x14ac:dyDescent="0.2">
      <c r="A570" t="str">
        <f t="shared" si="8"/>
        <v/>
      </c>
    </row>
    <row r="571" spans="1:1" x14ac:dyDescent="0.2">
      <c r="A571" t="str">
        <f t="shared" si="8"/>
        <v/>
      </c>
    </row>
    <row r="572" spans="1:1" x14ac:dyDescent="0.2">
      <c r="A572" t="str">
        <f t="shared" si="8"/>
        <v/>
      </c>
    </row>
    <row r="573" spans="1:1" x14ac:dyDescent="0.2">
      <c r="A573" t="str">
        <f t="shared" si="8"/>
        <v/>
      </c>
    </row>
    <row r="574" spans="1:1" x14ac:dyDescent="0.2">
      <c r="A574" t="str">
        <f t="shared" si="8"/>
        <v/>
      </c>
    </row>
    <row r="575" spans="1:1" x14ac:dyDescent="0.2">
      <c r="A575" t="str">
        <f t="shared" si="8"/>
        <v/>
      </c>
    </row>
    <row r="576" spans="1:1" x14ac:dyDescent="0.2">
      <c r="A576" t="str">
        <f t="shared" si="8"/>
        <v/>
      </c>
    </row>
    <row r="577" spans="1:1" x14ac:dyDescent="0.2">
      <c r="A577" t="str">
        <f t="shared" si="8"/>
        <v/>
      </c>
    </row>
    <row r="578" spans="1:1" x14ac:dyDescent="0.2">
      <c r="A578" t="str">
        <f t="shared" si="8"/>
        <v/>
      </c>
    </row>
    <row r="579" spans="1:1" x14ac:dyDescent="0.2">
      <c r="A579" t="str">
        <f t="shared" si="8"/>
        <v/>
      </c>
    </row>
    <row r="580" spans="1:1" x14ac:dyDescent="0.2">
      <c r="A580" t="str">
        <f t="shared" ref="A580:A643" si="9">B580&amp;C580&amp;D580&amp;E580</f>
        <v/>
      </c>
    </row>
    <row r="581" spans="1:1" x14ac:dyDescent="0.2">
      <c r="A581" t="str">
        <f t="shared" si="9"/>
        <v/>
      </c>
    </row>
    <row r="582" spans="1:1" x14ac:dyDescent="0.2">
      <c r="A582" t="str">
        <f t="shared" si="9"/>
        <v/>
      </c>
    </row>
    <row r="583" spans="1:1" x14ac:dyDescent="0.2">
      <c r="A583" t="str">
        <f t="shared" si="9"/>
        <v/>
      </c>
    </row>
    <row r="584" spans="1:1" x14ac:dyDescent="0.2">
      <c r="A584" t="str">
        <f t="shared" si="9"/>
        <v/>
      </c>
    </row>
    <row r="585" spans="1:1" x14ac:dyDescent="0.2">
      <c r="A585" t="str">
        <f t="shared" si="9"/>
        <v/>
      </c>
    </row>
    <row r="586" spans="1:1" x14ac:dyDescent="0.2">
      <c r="A586" t="str">
        <f t="shared" si="9"/>
        <v/>
      </c>
    </row>
    <row r="587" spans="1:1" x14ac:dyDescent="0.2">
      <c r="A587" t="str">
        <f t="shared" si="9"/>
        <v/>
      </c>
    </row>
    <row r="588" spans="1:1" x14ac:dyDescent="0.2">
      <c r="A588" t="str">
        <f t="shared" si="9"/>
        <v/>
      </c>
    </row>
    <row r="589" spans="1:1" x14ac:dyDescent="0.2">
      <c r="A589" t="str">
        <f t="shared" si="9"/>
        <v/>
      </c>
    </row>
    <row r="590" spans="1:1" x14ac:dyDescent="0.2">
      <c r="A590" t="str">
        <f t="shared" si="9"/>
        <v/>
      </c>
    </row>
    <row r="591" spans="1:1" x14ac:dyDescent="0.2">
      <c r="A591" t="str">
        <f t="shared" si="9"/>
        <v/>
      </c>
    </row>
    <row r="592" spans="1:1" x14ac:dyDescent="0.2">
      <c r="A592" t="str">
        <f t="shared" si="9"/>
        <v/>
      </c>
    </row>
    <row r="593" spans="1:1" x14ac:dyDescent="0.2">
      <c r="A593" t="str">
        <f t="shared" si="9"/>
        <v/>
      </c>
    </row>
    <row r="594" spans="1:1" x14ac:dyDescent="0.2">
      <c r="A594" t="str">
        <f t="shared" si="9"/>
        <v/>
      </c>
    </row>
    <row r="595" spans="1:1" x14ac:dyDescent="0.2">
      <c r="A595" t="str">
        <f t="shared" si="9"/>
        <v/>
      </c>
    </row>
    <row r="596" spans="1:1" x14ac:dyDescent="0.2">
      <c r="A596" t="str">
        <f t="shared" si="9"/>
        <v/>
      </c>
    </row>
    <row r="597" spans="1:1" x14ac:dyDescent="0.2">
      <c r="A597" t="str">
        <f t="shared" si="9"/>
        <v/>
      </c>
    </row>
    <row r="598" spans="1:1" x14ac:dyDescent="0.2">
      <c r="A598" t="str">
        <f t="shared" si="9"/>
        <v/>
      </c>
    </row>
    <row r="599" spans="1:1" x14ac:dyDescent="0.2">
      <c r="A599" t="str">
        <f t="shared" si="9"/>
        <v/>
      </c>
    </row>
    <row r="600" spans="1:1" x14ac:dyDescent="0.2">
      <c r="A600" t="str">
        <f t="shared" si="9"/>
        <v/>
      </c>
    </row>
    <row r="601" spans="1:1" x14ac:dyDescent="0.2">
      <c r="A601" t="str">
        <f t="shared" si="9"/>
        <v/>
      </c>
    </row>
    <row r="602" spans="1:1" x14ac:dyDescent="0.2">
      <c r="A602" t="str">
        <f t="shared" si="9"/>
        <v/>
      </c>
    </row>
    <row r="603" spans="1:1" x14ac:dyDescent="0.2">
      <c r="A603" t="str">
        <f t="shared" si="9"/>
        <v/>
      </c>
    </row>
    <row r="604" spans="1:1" x14ac:dyDescent="0.2">
      <c r="A604" t="str">
        <f t="shared" si="9"/>
        <v/>
      </c>
    </row>
    <row r="605" spans="1:1" x14ac:dyDescent="0.2">
      <c r="A605" t="str">
        <f t="shared" si="9"/>
        <v/>
      </c>
    </row>
    <row r="606" spans="1:1" x14ac:dyDescent="0.2">
      <c r="A606" t="str">
        <f t="shared" si="9"/>
        <v/>
      </c>
    </row>
    <row r="607" spans="1:1" x14ac:dyDescent="0.2">
      <c r="A607" t="str">
        <f t="shared" si="9"/>
        <v/>
      </c>
    </row>
    <row r="608" spans="1:1" x14ac:dyDescent="0.2">
      <c r="A608" t="str">
        <f t="shared" si="9"/>
        <v/>
      </c>
    </row>
    <row r="609" spans="1:1" x14ac:dyDescent="0.2">
      <c r="A609" t="str">
        <f t="shared" si="9"/>
        <v/>
      </c>
    </row>
    <row r="610" spans="1:1" x14ac:dyDescent="0.2">
      <c r="A610" t="str">
        <f t="shared" si="9"/>
        <v/>
      </c>
    </row>
    <row r="611" spans="1:1" x14ac:dyDescent="0.2">
      <c r="A611" t="str">
        <f t="shared" si="9"/>
        <v/>
      </c>
    </row>
    <row r="612" spans="1:1" x14ac:dyDescent="0.2">
      <c r="A612" t="str">
        <f t="shared" si="9"/>
        <v/>
      </c>
    </row>
    <row r="613" spans="1:1" x14ac:dyDescent="0.2">
      <c r="A613" t="str">
        <f t="shared" si="9"/>
        <v/>
      </c>
    </row>
    <row r="614" spans="1:1" x14ac:dyDescent="0.2">
      <c r="A614" t="str">
        <f t="shared" si="9"/>
        <v/>
      </c>
    </row>
    <row r="615" spans="1:1" x14ac:dyDescent="0.2">
      <c r="A615" t="str">
        <f t="shared" si="9"/>
        <v/>
      </c>
    </row>
    <row r="616" spans="1:1" x14ac:dyDescent="0.2">
      <c r="A616" t="str">
        <f t="shared" si="9"/>
        <v/>
      </c>
    </row>
    <row r="617" spans="1:1" x14ac:dyDescent="0.2">
      <c r="A617" t="str">
        <f t="shared" si="9"/>
        <v/>
      </c>
    </row>
    <row r="618" spans="1:1" x14ac:dyDescent="0.2">
      <c r="A618" t="str">
        <f t="shared" si="9"/>
        <v/>
      </c>
    </row>
    <row r="619" spans="1:1" x14ac:dyDescent="0.2">
      <c r="A619" t="str">
        <f t="shared" si="9"/>
        <v/>
      </c>
    </row>
    <row r="620" spans="1:1" x14ac:dyDescent="0.2">
      <c r="A620" t="str">
        <f t="shared" si="9"/>
        <v/>
      </c>
    </row>
    <row r="621" spans="1:1" x14ac:dyDescent="0.2">
      <c r="A621" t="str">
        <f t="shared" si="9"/>
        <v/>
      </c>
    </row>
    <row r="622" spans="1:1" x14ac:dyDescent="0.2">
      <c r="A622" t="str">
        <f t="shared" si="9"/>
        <v/>
      </c>
    </row>
    <row r="623" spans="1:1" x14ac:dyDescent="0.2">
      <c r="A623" t="str">
        <f t="shared" si="9"/>
        <v/>
      </c>
    </row>
    <row r="624" spans="1:1" x14ac:dyDescent="0.2">
      <c r="A624" t="str">
        <f t="shared" si="9"/>
        <v/>
      </c>
    </row>
    <row r="625" spans="1:1" x14ac:dyDescent="0.2">
      <c r="A625" t="str">
        <f t="shared" si="9"/>
        <v/>
      </c>
    </row>
    <row r="626" spans="1:1" x14ac:dyDescent="0.2">
      <c r="A626" t="str">
        <f t="shared" si="9"/>
        <v/>
      </c>
    </row>
    <row r="627" spans="1:1" x14ac:dyDescent="0.2">
      <c r="A627" t="str">
        <f t="shared" si="9"/>
        <v/>
      </c>
    </row>
    <row r="628" spans="1:1" x14ac:dyDescent="0.2">
      <c r="A628" t="str">
        <f t="shared" si="9"/>
        <v/>
      </c>
    </row>
    <row r="629" spans="1:1" x14ac:dyDescent="0.2">
      <c r="A629" t="str">
        <f t="shared" si="9"/>
        <v/>
      </c>
    </row>
    <row r="630" spans="1:1" x14ac:dyDescent="0.2">
      <c r="A630" t="str">
        <f t="shared" si="9"/>
        <v/>
      </c>
    </row>
    <row r="631" spans="1:1" x14ac:dyDescent="0.2">
      <c r="A631" t="str">
        <f t="shared" si="9"/>
        <v/>
      </c>
    </row>
    <row r="632" spans="1:1" x14ac:dyDescent="0.2">
      <c r="A632" t="str">
        <f t="shared" si="9"/>
        <v/>
      </c>
    </row>
    <row r="633" spans="1:1" x14ac:dyDescent="0.2">
      <c r="A633" t="str">
        <f t="shared" si="9"/>
        <v/>
      </c>
    </row>
    <row r="634" spans="1:1" x14ac:dyDescent="0.2">
      <c r="A634" t="str">
        <f t="shared" si="9"/>
        <v/>
      </c>
    </row>
    <row r="635" spans="1:1" x14ac:dyDescent="0.2">
      <c r="A635" t="str">
        <f t="shared" si="9"/>
        <v/>
      </c>
    </row>
    <row r="636" spans="1:1" x14ac:dyDescent="0.2">
      <c r="A636" t="str">
        <f t="shared" si="9"/>
        <v/>
      </c>
    </row>
    <row r="637" spans="1:1" x14ac:dyDescent="0.2">
      <c r="A637" t="str">
        <f t="shared" si="9"/>
        <v/>
      </c>
    </row>
    <row r="638" spans="1:1" x14ac:dyDescent="0.2">
      <c r="A638" t="str">
        <f t="shared" si="9"/>
        <v/>
      </c>
    </row>
    <row r="639" spans="1:1" x14ac:dyDescent="0.2">
      <c r="A639" t="str">
        <f t="shared" si="9"/>
        <v/>
      </c>
    </row>
    <row r="640" spans="1:1" x14ac:dyDescent="0.2">
      <c r="A640" t="str">
        <f t="shared" si="9"/>
        <v/>
      </c>
    </row>
    <row r="641" spans="1:1" x14ac:dyDescent="0.2">
      <c r="A641" t="str">
        <f t="shared" si="9"/>
        <v/>
      </c>
    </row>
    <row r="642" spans="1:1" x14ac:dyDescent="0.2">
      <c r="A642" t="str">
        <f t="shared" si="9"/>
        <v/>
      </c>
    </row>
    <row r="643" spans="1:1" x14ac:dyDescent="0.2">
      <c r="A643" t="str">
        <f t="shared" si="9"/>
        <v/>
      </c>
    </row>
    <row r="644" spans="1:1" x14ac:dyDescent="0.2">
      <c r="A644" t="str">
        <f t="shared" ref="A644:A707" si="10">B644&amp;C644&amp;D644&amp;E644</f>
        <v/>
      </c>
    </row>
    <row r="645" spans="1:1" x14ac:dyDescent="0.2">
      <c r="A645" t="str">
        <f t="shared" si="10"/>
        <v/>
      </c>
    </row>
    <row r="646" spans="1:1" x14ac:dyDescent="0.2">
      <c r="A646" t="str">
        <f t="shared" si="10"/>
        <v/>
      </c>
    </row>
    <row r="647" spans="1:1" x14ac:dyDescent="0.2">
      <c r="A647" t="str">
        <f t="shared" si="10"/>
        <v/>
      </c>
    </row>
    <row r="648" spans="1:1" x14ac:dyDescent="0.2">
      <c r="A648" t="str">
        <f t="shared" si="10"/>
        <v/>
      </c>
    </row>
    <row r="649" spans="1:1" x14ac:dyDescent="0.2">
      <c r="A649" t="str">
        <f t="shared" si="10"/>
        <v/>
      </c>
    </row>
    <row r="650" spans="1:1" x14ac:dyDescent="0.2">
      <c r="A650" t="str">
        <f t="shared" si="10"/>
        <v/>
      </c>
    </row>
    <row r="651" spans="1:1" x14ac:dyDescent="0.2">
      <c r="A651" t="str">
        <f t="shared" si="10"/>
        <v/>
      </c>
    </row>
    <row r="652" spans="1:1" x14ac:dyDescent="0.2">
      <c r="A652" t="str">
        <f t="shared" si="10"/>
        <v/>
      </c>
    </row>
    <row r="653" spans="1:1" x14ac:dyDescent="0.2">
      <c r="A653" t="str">
        <f t="shared" si="10"/>
        <v/>
      </c>
    </row>
    <row r="654" spans="1:1" x14ac:dyDescent="0.2">
      <c r="A654" t="str">
        <f t="shared" si="10"/>
        <v/>
      </c>
    </row>
    <row r="655" spans="1:1" x14ac:dyDescent="0.2">
      <c r="A655" t="str">
        <f t="shared" si="10"/>
        <v/>
      </c>
    </row>
    <row r="656" spans="1:1" x14ac:dyDescent="0.2">
      <c r="A656" t="str">
        <f t="shared" si="10"/>
        <v/>
      </c>
    </row>
    <row r="657" spans="1:1" x14ac:dyDescent="0.2">
      <c r="A657" t="str">
        <f t="shared" si="10"/>
        <v/>
      </c>
    </row>
    <row r="658" spans="1:1" x14ac:dyDescent="0.2">
      <c r="A658" t="str">
        <f t="shared" si="10"/>
        <v/>
      </c>
    </row>
    <row r="659" spans="1:1" x14ac:dyDescent="0.2">
      <c r="A659" t="str">
        <f t="shared" si="10"/>
        <v/>
      </c>
    </row>
    <row r="660" spans="1:1" x14ac:dyDescent="0.2">
      <c r="A660" t="str">
        <f t="shared" si="10"/>
        <v/>
      </c>
    </row>
    <row r="661" spans="1:1" x14ac:dyDescent="0.2">
      <c r="A661" t="str">
        <f t="shared" si="10"/>
        <v/>
      </c>
    </row>
    <row r="662" spans="1:1" x14ac:dyDescent="0.2">
      <c r="A662" t="str">
        <f t="shared" si="10"/>
        <v/>
      </c>
    </row>
    <row r="663" spans="1:1" x14ac:dyDescent="0.2">
      <c r="A663" t="str">
        <f t="shared" si="10"/>
        <v/>
      </c>
    </row>
    <row r="664" spans="1:1" x14ac:dyDescent="0.2">
      <c r="A664" t="str">
        <f t="shared" si="10"/>
        <v/>
      </c>
    </row>
    <row r="665" spans="1:1" x14ac:dyDescent="0.2">
      <c r="A665" t="str">
        <f t="shared" si="10"/>
        <v/>
      </c>
    </row>
    <row r="666" spans="1:1" x14ac:dyDescent="0.2">
      <c r="A666" t="str">
        <f t="shared" si="10"/>
        <v/>
      </c>
    </row>
    <row r="667" spans="1:1" x14ac:dyDescent="0.2">
      <c r="A667" t="str">
        <f t="shared" si="10"/>
        <v/>
      </c>
    </row>
    <row r="668" spans="1:1" x14ac:dyDescent="0.2">
      <c r="A668" t="str">
        <f t="shared" si="10"/>
        <v/>
      </c>
    </row>
    <row r="669" spans="1:1" x14ac:dyDescent="0.2">
      <c r="A669" t="str">
        <f t="shared" si="10"/>
        <v/>
      </c>
    </row>
    <row r="670" spans="1:1" x14ac:dyDescent="0.2">
      <c r="A670" t="str">
        <f t="shared" si="10"/>
        <v/>
      </c>
    </row>
    <row r="671" spans="1:1" x14ac:dyDescent="0.2">
      <c r="A671" t="str">
        <f t="shared" si="10"/>
        <v/>
      </c>
    </row>
    <row r="672" spans="1:1" x14ac:dyDescent="0.2">
      <c r="A672" t="str">
        <f t="shared" si="10"/>
        <v/>
      </c>
    </row>
    <row r="673" spans="1:1" x14ac:dyDescent="0.2">
      <c r="A673" t="str">
        <f t="shared" si="10"/>
        <v/>
      </c>
    </row>
    <row r="674" spans="1:1" x14ac:dyDescent="0.2">
      <c r="A674" t="str">
        <f t="shared" si="10"/>
        <v/>
      </c>
    </row>
    <row r="675" spans="1:1" x14ac:dyDescent="0.2">
      <c r="A675" t="str">
        <f t="shared" si="10"/>
        <v/>
      </c>
    </row>
    <row r="676" spans="1:1" x14ac:dyDescent="0.2">
      <c r="A676" t="str">
        <f t="shared" si="10"/>
        <v/>
      </c>
    </row>
    <row r="677" spans="1:1" x14ac:dyDescent="0.2">
      <c r="A677" t="str">
        <f t="shared" si="10"/>
        <v/>
      </c>
    </row>
    <row r="678" spans="1:1" x14ac:dyDescent="0.2">
      <c r="A678" t="str">
        <f t="shared" si="10"/>
        <v/>
      </c>
    </row>
    <row r="679" spans="1:1" x14ac:dyDescent="0.2">
      <c r="A679" t="str">
        <f t="shared" si="10"/>
        <v/>
      </c>
    </row>
    <row r="680" spans="1:1" x14ac:dyDescent="0.2">
      <c r="A680" t="str">
        <f t="shared" si="10"/>
        <v/>
      </c>
    </row>
    <row r="681" spans="1:1" x14ac:dyDescent="0.2">
      <c r="A681" t="str">
        <f t="shared" si="10"/>
        <v/>
      </c>
    </row>
    <row r="682" spans="1:1" x14ac:dyDescent="0.2">
      <c r="A682" t="str">
        <f t="shared" si="10"/>
        <v/>
      </c>
    </row>
    <row r="683" spans="1:1" x14ac:dyDescent="0.2">
      <c r="A683" t="str">
        <f t="shared" si="10"/>
        <v/>
      </c>
    </row>
    <row r="684" spans="1:1" x14ac:dyDescent="0.2">
      <c r="A684" t="str">
        <f t="shared" si="10"/>
        <v/>
      </c>
    </row>
    <row r="685" spans="1:1" x14ac:dyDescent="0.2">
      <c r="A685" t="str">
        <f t="shared" si="10"/>
        <v/>
      </c>
    </row>
    <row r="686" spans="1:1" x14ac:dyDescent="0.2">
      <c r="A686" t="str">
        <f t="shared" si="10"/>
        <v/>
      </c>
    </row>
    <row r="687" spans="1:1" x14ac:dyDescent="0.2">
      <c r="A687" t="str">
        <f t="shared" si="10"/>
        <v/>
      </c>
    </row>
    <row r="688" spans="1:1" x14ac:dyDescent="0.2">
      <c r="A688" t="str">
        <f t="shared" si="10"/>
        <v/>
      </c>
    </row>
    <row r="689" spans="1:1" x14ac:dyDescent="0.2">
      <c r="A689" t="str">
        <f t="shared" si="10"/>
        <v/>
      </c>
    </row>
    <row r="690" spans="1:1" x14ac:dyDescent="0.2">
      <c r="A690" t="str">
        <f t="shared" si="10"/>
        <v/>
      </c>
    </row>
    <row r="691" spans="1:1" x14ac:dyDescent="0.2">
      <c r="A691" t="str">
        <f t="shared" si="10"/>
        <v/>
      </c>
    </row>
    <row r="692" spans="1:1" x14ac:dyDescent="0.2">
      <c r="A692" t="str">
        <f t="shared" si="10"/>
        <v/>
      </c>
    </row>
    <row r="693" spans="1:1" x14ac:dyDescent="0.2">
      <c r="A693" t="str">
        <f t="shared" si="10"/>
        <v/>
      </c>
    </row>
    <row r="694" spans="1:1" x14ac:dyDescent="0.2">
      <c r="A694" t="str">
        <f t="shared" si="10"/>
        <v/>
      </c>
    </row>
    <row r="695" spans="1:1" x14ac:dyDescent="0.2">
      <c r="A695" t="str">
        <f t="shared" si="10"/>
        <v/>
      </c>
    </row>
    <row r="696" spans="1:1" x14ac:dyDescent="0.2">
      <c r="A696" t="str">
        <f t="shared" si="10"/>
        <v/>
      </c>
    </row>
    <row r="697" spans="1:1" x14ac:dyDescent="0.2">
      <c r="A697" t="str">
        <f t="shared" si="10"/>
        <v/>
      </c>
    </row>
    <row r="698" spans="1:1" x14ac:dyDescent="0.2">
      <c r="A698" t="str">
        <f t="shared" si="10"/>
        <v/>
      </c>
    </row>
    <row r="699" spans="1:1" x14ac:dyDescent="0.2">
      <c r="A699" t="str">
        <f t="shared" si="10"/>
        <v/>
      </c>
    </row>
    <row r="700" spans="1:1" x14ac:dyDescent="0.2">
      <c r="A700" t="str">
        <f t="shared" si="10"/>
        <v/>
      </c>
    </row>
    <row r="701" spans="1:1" x14ac:dyDescent="0.2">
      <c r="A701" t="str">
        <f t="shared" si="10"/>
        <v/>
      </c>
    </row>
    <row r="702" spans="1:1" x14ac:dyDescent="0.2">
      <c r="A702" t="str">
        <f t="shared" si="10"/>
        <v/>
      </c>
    </row>
    <row r="703" spans="1:1" x14ac:dyDescent="0.2">
      <c r="A703" t="str">
        <f t="shared" si="10"/>
        <v/>
      </c>
    </row>
    <row r="704" spans="1:1" x14ac:dyDescent="0.2">
      <c r="A704" t="str">
        <f t="shared" si="10"/>
        <v/>
      </c>
    </row>
    <row r="705" spans="1:1" x14ac:dyDescent="0.2">
      <c r="A705" t="str">
        <f t="shared" si="10"/>
        <v/>
      </c>
    </row>
    <row r="706" spans="1:1" x14ac:dyDescent="0.2">
      <c r="A706" t="str">
        <f t="shared" si="10"/>
        <v/>
      </c>
    </row>
    <row r="707" spans="1:1" x14ac:dyDescent="0.2">
      <c r="A707" t="str">
        <f t="shared" si="10"/>
        <v/>
      </c>
    </row>
    <row r="708" spans="1:1" x14ac:dyDescent="0.2">
      <c r="A708" t="str">
        <f t="shared" ref="A708:A771" si="11">B708&amp;C708&amp;D708&amp;E708</f>
        <v/>
      </c>
    </row>
    <row r="709" spans="1:1" x14ac:dyDescent="0.2">
      <c r="A709" t="str">
        <f t="shared" si="11"/>
        <v/>
      </c>
    </row>
    <row r="710" spans="1:1" x14ac:dyDescent="0.2">
      <c r="A710" t="str">
        <f t="shared" si="11"/>
        <v/>
      </c>
    </row>
    <row r="711" spans="1:1" x14ac:dyDescent="0.2">
      <c r="A711" t="str">
        <f t="shared" si="11"/>
        <v/>
      </c>
    </row>
    <row r="712" spans="1:1" x14ac:dyDescent="0.2">
      <c r="A712" t="str">
        <f t="shared" si="11"/>
        <v/>
      </c>
    </row>
    <row r="713" spans="1:1" x14ac:dyDescent="0.2">
      <c r="A713" t="str">
        <f t="shared" si="11"/>
        <v/>
      </c>
    </row>
    <row r="714" spans="1:1" x14ac:dyDescent="0.2">
      <c r="A714" t="str">
        <f t="shared" si="11"/>
        <v/>
      </c>
    </row>
    <row r="715" spans="1:1" x14ac:dyDescent="0.2">
      <c r="A715" t="str">
        <f t="shared" si="11"/>
        <v/>
      </c>
    </row>
    <row r="716" spans="1:1" x14ac:dyDescent="0.2">
      <c r="A716" t="str">
        <f t="shared" si="11"/>
        <v/>
      </c>
    </row>
    <row r="717" spans="1:1" x14ac:dyDescent="0.2">
      <c r="A717" t="str">
        <f t="shared" si="11"/>
        <v/>
      </c>
    </row>
    <row r="718" spans="1:1" x14ac:dyDescent="0.2">
      <c r="A718" t="str">
        <f t="shared" si="11"/>
        <v/>
      </c>
    </row>
    <row r="719" spans="1:1" x14ac:dyDescent="0.2">
      <c r="A719" t="str">
        <f t="shared" si="11"/>
        <v/>
      </c>
    </row>
    <row r="720" spans="1:1" x14ac:dyDescent="0.2">
      <c r="A720" t="str">
        <f t="shared" si="11"/>
        <v/>
      </c>
    </row>
    <row r="721" spans="1:1" x14ac:dyDescent="0.2">
      <c r="A721" t="str">
        <f t="shared" si="11"/>
        <v/>
      </c>
    </row>
    <row r="722" spans="1:1" x14ac:dyDescent="0.2">
      <c r="A722" t="str">
        <f t="shared" si="11"/>
        <v/>
      </c>
    </row>
    <row r="723" spans="1:1" x14ac:dyDescent="0.2">
      <c r="A723" t="str">
        <f t="shared" si="11"/>
        <v/>
      </c>
    </row>
    <row r="724" spans="1:1" x14ac:dyDescent="0.2">
      <c r="A724" t="str">
        <f t="shared" si="11"/>
        <v/>
      </c>
    </row>
    <row r="725" spans="1:1" x14ac:dyDescent="0.2">
      <c r="A725" t="str">
        <f t="shared" si="11"/>
        <v/>
      </c>
    </row>
    <row r="726" spans="1:1" x14ac:dyDescent="0.2">
      <c r="A726" t="str">
        <f t="shared" si="11"/>
        <v/>
      </c>
    </row>
    <row r="727" spans="1:1" x14ac:dyDescent="0.2">
      <c r="A727" t="str">
        <f t="shared" si="11"/>
        <v/>
      </c>
    </row>
    <row r="728" spans="1:1" x14ac:dyDescent="0.2">
      <c r="A728" t="str">
        <f t="shared" si="11"/>
        <v/>
      </c>
    </row>
    <row r="729" spans="1:1" x14ac:dyDescent="0.2">
      <c r="A729" t="str">
        <f t="shared" si="11"/>
        <v/>
      </c>
    </row>
    <row r="730" spans="1:1" x14ac:dyDescent="0.2">
      <c r="A730" t="str">
        <f t="shared" si="11"/>
        <v/>
      </c>
    </row>
    <row r="731" spans="1:1" x14ac:dyDescent="0.2">
      <c r="A731" t="str">
        <f t="shared" si="11"/>
        <v/>
      </c>
    </row>
    <row r="732" spans="1:1" x14ac:dyDescent="0.2">
      <c r="A732" t="str">
        <f t="shared" si="11"/>
        <v/>
      </c>
    </row>
    <row r="733" spans="1:1" x14ac:dyDescent="0.2">
      <c r="A733" t="str">
        <f t="shared" si="11"/>
        <v/>
      </c>
    </row>
    <row r="734" spans="1:1" x14ac:dyDescent="0.2">
      <c r="A734" t="str">
        <f t="shared" si="11"/>
        <v/>
      </c>
    </row>
    <row r="735" spans="1:1" x14ac:dyDescent="0.2">
      <c r="A735" t="str">
        <f t="shared" si="11"/>
        <v/>
      </c>
    </row>
    <row r="736" spans="1:1" x14ac:dyDescent="0.2">
      <c r="A736" t="str">
        <f t="shared" si="11"/>
        <v/>
      </c>
    </row>
    <row r="737" spans="1:1" x14ac:dyDescent="0.2">
      <c r="A737" t="str">
        <f t="shared" si="11"/>
        <v/>
      </c>
    </row>
    <row r="738" spans="1:1" x14ac:dyDescent="0.2">
      <c r="A738" t="str">
        <f t="shared" si="11"/>
        <v/>
      </c>
    </row>
    <row r="739" spans="1:1" x14ac:dyDescent="0.2">
      <c r="A739" t="str">
        <f t="shared" si="11"/>
        <v/>
      </c>
    </row>
    <row r="740" spans="1:1" x14ac:dyDescent="0.2">
      <c r="A740" t="str">
        <f t="shared" si="11"/>
        <v/>
      </c>
    </row>
    <row r="741" spans="1:1" x14ac:dyDescent="0.2">
      <c r="A741" t="str">
        <f t="shared" si="11"/>
        <v/>
      </c>
    </row>
    <row r="742" spans="1:1" x14ac:dyDescent="0.2">
      <c r="A742" t="str">
        <f t="shared" si="11"/>
        <v/>
      </c>
    </row>
    <row r="743" spans="1:1" x14ac:dyDescent="0.2">
      <c r="A743" t="str">
        <f t="shared" si="11"/>
        <v/>
      </c>
    </row>
    <row r="744" spans="1:1" x14ac:dyDescent="0.2">
      <c r="A744" t="str">
        <f t="shared" si="11"/>
        <v/>
      </c>
    </row>
    <row r="745" spans="1:1" x14ac:dyDescent="0.2">
      <c r="A745" t="str">
        <f t="shared" si="11"/>
        <v/>
      </c>
    </row>
    <row r="746" spans="1:1" x14ac:dyDescent="0.2">
      <c r="A746" t="str">
        <f t="shared" si="11"/>
        <v/>
      </c>
    </row>
    <row r="747" spans="1:1" x14ac:dyDescent="0.2">
      <c r="A747" t="str">
        <f t="shared" si="11"/>
        <v/>
      </c>
    </row>
    <row r="748" spans="1:1" x14ac:dyDescent="0.2">
      <c r="A748" t="str">
        <f t="shared" si="11"/>
        <v/>
      </c>
    </row>
    <row r="749" spans="1:1" x14ac:dyDescent="0.2">
      <c r="A749" t="str">
        <f t="shared" si="11"/>
        <v/>
      </c>
    </row>
    <row r="750" spans="1:1" x14ac:dyDescent="0.2">
      <c r="A750" t="str">
        <f t="shared" si="11"/>
        <v/>
      </c>
    </row>
    <row r="751" spans="1:1" x14ac:dyDescent="0.2">
      <c r="A751" t="str">
        <f t="shared" si="11"/>
        <v/>
      </c>
    </row>
    <row r="752" spans="1:1" x14ac:dyDescent="0.2">
      <c r="A752" t="str">
        <f t="shared" si="11"/>
        <v/>
      </c>
    </row>
    <row r="753" spans="1:1" x14ac:dyDescent="0.2">
      <c r="A753" t="str">
        <f t="shared" si="11"/>
        <v/>
      </c>
    </row>
    <row r="754" spans="1:1" x14ac:dyDescent="0.2">
      <c r="A754" t="str">
        <f t="shared" si="11"/>
        <v/>
      </c>
    </row>
    <row r="755" spans="1:1" x14ac:dyDescent="0.2">
      <c r="A755" t="str">
        <f t="shared" si="11"/>
        <v/>
      </c>
    </row>
    <row r="756" spans="1:1" x14ac:dyDescent="0.2">
      <c r="A756" t="str">
        <f t="shared" si="11"/>
        <v/>
      </c>
    </row>
    <row r="757" spans="1:1" x14ac:dyDescent="0.2">
      <c r="A757" t="str">
        <f t="shared" si="11"/>
        <v/>
      </c>
    </row>
    <row r="758" spans="1:1" x14ac:dyDescent="0.2">
      <c r="A758" t="str">
        <f t="shared" si="11"/>
        <v/>
      </c>
    </row>
    <row r="759" spans="1:1" x14ac:dyDescent="0.2">
      <c r="A759" t="str">
        <f t="shared" si="11"/>
        <v/>
      </c>
    </row>
    <row r="760" spans="1:1" x14ac:dyDescent="0.2">
      <c r="A760" t="str">
        <f t="shared" si="11"/>
        <v/>
      </c>
    </row>
    <row r="761" spans="1:1" x14ac:dyDescent="0.2">
      <c r="A761" t="str">
        <f t="shared" si="11"/>
        <v/>
      </c>
    </row>
    <row r="762" spans="1:1" x14ac:dyDescent="0.2">
      <c r="A762" t="str">
        <f t="shared" si="11"/>
        <v/>
      </c>
    </row>
    <row r="763" spans="1:1" x14ac:dyDescent="0.2">
      <c r="A763" t="str">
        <f t="shared" si="11"/>
        <v/>
      </c>
    </row>
    <row r="764" spans="1:1" x14ac:dyDescent="0.2">
      <c r="A764" t="str">
        <f t="shared" si="11"/>
        <v/>
      </c>
    </row>
    <row r="765" spans="1:1" x14ac:dyDescent="0.2">
      <c r="A765" t="str">
        <f t="shared" si="11"/>
        <v/>
      </c>
    </row>
    <row r="766" spans="1:1" x14ac:dyDescent="0.2">
      <c r="A766" t="str">
        <f t="shared" si="11"/>
        <v/>
      </c>
    </row>
    <row r="767" spans="1:1" x14ac:dyDescent="0.2">
      <c r="A767" t="str">
        <f t="shared" si="11"/>
        <v/>
      </c>
    </row>
    <row r="768" spans="1:1" x14ac:dyDescent="0.2">
      <c r="A768" t="str">
        <f t="shared" si="11"/>
        <v/>
      </c>
    </row>
    <row r="769" spans="1:1" x14ac:dyDescent="0.2">
      <c r="A769" t="str">
        <f t="shared" si="11"/>
        <v/>
      </c>
    </row>
    <row r="770" spans="1:1" x14ac:dyDescent="0.2">
      <c r="A770" t="str">
        <f t="shared" si="11"/>
        <v/>
      </c>
    </row>
    <row r="771" spans="1:1" x14ac:dyDescent="0.2">
      <c r="A771" t="str">
        <f t="shared" si="11"/>
        <v/>
      </c>
    </row>
    <row r="772" spans="1:1" x14ac:dyDescent="0.2">
      <c r="A772" t="str">
        <f t="shared" ref="A772:A835" si="12">B772&amp;C772&amp;D772&amp;E772</f>
        <v/>
      </c>
    </row>
    <row r="773" spans="1:1" x14ac:dyDescent="0.2">
      <c r="A773" t="str">
        <f t="shared" si="12"/>
        <v/>
      </c>
    </row>
    <row r="774" spans="1:1" x14ac:dyDescent="0.2">
      <c r="A774" t="str">
        <f t="shared" si="12"/>
        <v/>
      </c>
    </row>
    <row r="775" spans="1:1" x14ac:dyDescent="0.2">
      <c r="A775" t="str">
        <f t="shared" si="12"/>
        <v/>
      </c>
    </row>
    <row r="776" spans="1:1" x14ac:dyDescent="0.2">
      <c r="A776" t="str">
        <f t="shared" si="12"/>
        <v/>
      </c>
    </row>
    <row r="777" spans="1:1" x14ac:dyDescent="0.2">
      <c r="A777" t="str">
        <f t="shared" si="12"/>
        <v/>
      </c>
    </row>
    <row r="778" spans="1:1" x14ac:dyDescent="0.2">
      <c r="A778" t="str">
        <f t="shared" si="12"/>
        <v/>
      </c>
    </row>
    <row r="779" spans="1:1" x14ac:dyDescent="0.2">
      <c r="A779" t="str">
        <f t="shared" si="12"/>
        <v/>
      </c>
    </row>
    <row r="780" spans="1:1" x14ac:dyDescent="0.2">
      <c r="A780" t="str">
        <f t="shared" si="12"/>
        <v/>
      </c>
    </row>
    <row r="781" spans="1:1" x14ac:dyDescent="0.2">
      <c r="A781" t="str">
        <f t="shared" si="12"/>
        <v/>
      </c>
    </row>
    <row r="782" spans="1:1" x14ac:dyDescent="0.2">
      <c r="A782" t="str">
        <f t="shared" si="12"/>
        <v/>
      </c>
    </row>
    <row r="783" spans="1:1" x14ac:dyDescent="0.2">
      <c r="A783" t="str">
        <f t="shared" si="12"/>
        <v/>
      </c>
    </row>
    <row r="784" spans="1:1" x14ac:dyDescent="0.2">
      <c r="A784" t="str">
        <f t="shared" si="12"/>
        <v/>
      </c>
    </row>
    <row r="785" spans="1:1" x14ac:dyDescent="0.2">
      <c r="A785" t="str">
        <f t="shared" si="12"/>
        <v/>
      </c>
    </row>
    <row r="786" spans="1:1" x14ac:dyDescent="0.2">
      <c r="A786" t="str">
        <f t="shared" si="12"/>
        <v/>
      </c>
    </row>
    <row r="787" spans="1:1" x14ac:dyDescent="0.2">
      <c r="A787" t="str">
        <f t="shared" si="12"/>
        <v/>
      </c>
    </row>
    <row r="788" spans="1:1" x14ac:dyDescent="0.2">
      <c r="A788" t="str">
        <f t="shared" si="12"/>
        <v/>
      </c>
    </row>
    <row r="789" spans="1:1" x14ac:dyDescent="0.2">
      <c r="A789" t="str">
        <f t="shared" si="12"/>
        <v/>
      </c>
    </row>
    <row r="790" spans="1:1" x14ac:dyDescent="0.2">
      <c r="A790" t="str">
        <f t="shared" si="12"/>
        <v/>
      </c>
    </row>
    <row r="791" spans="1:1" x14ac:dyDescent="0.2">
      <c r="A791" t="str">
        <f t="shared" si="12"/>
        <v/>
      </c>
    </row>
    <row r="792" spans="1:1" x14ac:dyDescent="0.2">
      <c r="A792" t="str">
        <f t="shared" si="12"/>
        <v/>
      </c>
    </row>
    <row r="793" spans="1:1" x14ac:dyDescent="0.2">
      <c r="A793" t="str">
        <f t="shared" si="12"/>
        <v/>
      </c>
    </row>
    <row r="794" spans="1:1" x14ac:dyDescent="0.2">
      <c r="A794" t="str">
        <f t="shared" si="12"/>
        <v/>
      </c>
    </row>
    <row r="795" spans="1:1" x14ac:dyDescent="0.2">
      <c r="A795" t="str">
        <f t="shared" si="12"/>
        <v/>
      </c>
    </row>
    <row r="796" spans="1:1" x14ac:dyDescent="0.2">
      <c r="A796" t="str">
        <f t="shared" si="12"/>
        <v/>
      </c>
    </row>
    <row r="797" spans="1:1" x14ac:dyDescent="0.2">
      <c r="A797" t="str">
        <f t="shared" si="12"/>
        <v/>
      </c>
    </row>
    <row r="798" spans="1:1" x14ac:dyDescent="0.2">
      <c r="A798" t="str">
        <f t="shared" si="12"/>
        <v/>
      </c>
    </row>
    <row r="799" spans="1:1" x14ac:dyDescent="0.2">
      <c r="A799" t="str">
        <f t="shared" si="12"/>
        <v/>
      </c>
    </row>
    <row r="800" spans="1:1" x14ac:dyDescent="0.2">
      <c r="A800" t="str">
        <f t="shared" si="12"/>
        <v/>
      </c>
    </row>
    <row r="801" spans="1:1" x14ac:dyDescent="0.2">
      <c r="A801" t="str">
        <f t="shared" si="12"/>
        <v/>
      </c>
    </row>
    <row r="802" spans="1:1" x14ac:dyDescent="0.2">
      <c r="A802" t="str">
        <f t="shared" si="12"/>
        <v/>
      </c>
    </row>
    <row r="803" spans="1:1" x14ac:dyDescent="0.2">
      <c r="A803" t="str">
        <f t="shared" si="12"/>
        <v/>
      </c>
    </row>
    <row r="804" spans="1:1" x14ac:dyDescent="0.2">
      <c r="A804" t="str">
        <f t="shared" si="12"/>
        <v/>
      </c>
    </row>
    <row r="805" spans="1:1" x14ac:dyDescent="0.2">
      <c r="A805" t="str">
        <f t="shared" si="12"/>
        <v/>
      </c>
    </row>
    <row r="806" spans="1:1" x14ac:dyDescent="0.2">
      <c r="A806" t="str">
        <f t="shared" si="12"/>
        <v/>
      </c>
    </row>
    <row r="807" spans="1:1" x14ac:dyDescent="0.2">
      <c r="A807" t="str">
        <f t="shared" si="12"/>
        <v/>
      </c>
    </row>
    <row r="808" spans="1:1" x14ac:dyDescent="0.2">
      <c r="A808" t="str">
        <f t="shared" si="12"/>
        <v/>
      </c>
    </row>
    <row r="809" spans="1:1" x14ac:dyDescent="0.2">
      <c r="A809" t="str">
        <f t="shared" si="12"/>
        <v/>
      </c>
    </row>
    <row r="810" spans="1:1" x14ac:dyDescent="0.2">
      <c r="A810" t="str">
        <f t="shared" si="12"/>
        <v/>
      </c>
    </row>
    <row r="811" spans="1:1" x14ac:dyDescent="0.2">
      <c r="A811" t="str">
        <f t="shared" si="12"/>
        <v/>
      </c>
    </row>
    <row r="812" spans="1:1" x14ac:dyDescent="0.2">
      <c r="A812" t="str">
        <f t="shared" si="12"/>
        <v/>
      </c>
    </row>
    <row r="813" spans="1:1" x14ac:dyDescent="0.2">
      <c r="A813" t="str">
        <f t="shared" si="12"/>
        <v/>
      </c>
    </row>
    <row r="814" spans="1:1" x14ac:dyDescent="0.2">
      <c r="A814" t="str">
        <f t="shared" si="12"/>
        <v/>
      </c>
    </row>
    <row r="815" spans="1:1" x14ac:dyDescent="0.2">
      <c r="A815" t="str">
        <f t="shared" si="12"/>
        <v/>
      </c>
    </row>
    <row r="816" spans="1:1" x14ac:dyDescent="0.2">
      <c r="A816" t="str">
        <f t="shared" si="12"/>
        <v/>
      </c>
    </row>
    <row r="817" spans="1:1" x14ac:dyDescent="0.2">
      <c r="A817" t="str">
        <f t="shared" si="12"/>
        <v/>
      </c>
    </row>
    <row r="818" spans="1:1" x14ac:dyDescent="0.2">
      <c r="A818" t="str">
        <f t="shared" si="12"/>
        <v/>
      </c>
    </row>
    <row r="819" spans="1:1" x14ac:dyDescent="0.2">
      <c r="A819" t="str">
        <f t="shared" si="12"/>
        <v/>
      </c>
    </row>
    <row r="820" spans="1:1" x14ac:dyDescent="0.2">
      <c r="A820" t="str">
        <f t="shared" si="12"/>
        <v/>
      </c>
    </row>
    <row r="821" spans="1:1" x14ac:dyDescent="0.2">
      <c r="A821" t="str">
        <f t="shared" si="12"/>
        <v/>
      </c>
    </row>
    <row r="822" spans="1:1" x14ac:dyDescent="0.2">
      <c r="A822" t="str">
        <f t="shared" si="12"/>
        <v/>
      </c>
    </row>
    <row r="823" spans="1:1" x14ac:dyDescent="0.2">
      <c r="A823" t="str">
        <f t="shared" si="12"/>
        <v/>
      </c>
    </row>
    <row r="824" spans="1:1" x14ac:dyDescent="0.2">
      <c r="A824" t="str">
        <f t="shared" si="12"/>
        <v/>
      </c>
    </row>
    <row r="825" spans="1:1" x14ac:dyDescent="0.2">
      <c r="A825" t="str">
        <f t="shared" si="12"/>
        <v/>
      </c>
    </row>
    <row r="826" spans="1:1" x14ac:dyDescent="0.2">
      <c r="A826" t="str">
        <f t="shared" si="12"/>
        <v/>
      </c>
    </row>
    <row r="827" spans="1:1" x14ac:dyDescent="0.2">
      <c r="A827" t="str">
        <f t="shared" si="12"/>
        <v/>
      </c>
    </row>
    <row r="828" spans="1:1" x14ac:dyDescent="0.2">
      <c r="A828" t="str">
        <f t="shared" si="12"/>
        <v/>
      </c>
    </row>
    <row r="829" spans="1:1" x14ac:dyDescent="0.2">
      <c r="A829" t="str">
        <f t="shared" si="12"/>
        <v/>
      </c>
    </row>
    <row r="830" spans="1:1" x14ac:dyDescent="0.2">
      <c r="A830" t="str">
        <f t="shared" si="12"/>
        <v/>
      </c>
    </row>
    <row r="831" spans="1:1" x14ac:dyDescent="0.2">
      <c r="A831" t="str">
        <f t="shared" si="12"/>
        <v/>
      </c>
    </row>
    <row r="832" spans="1:1" x14ac:dyDescent="0.2">
      <c r="A832" t="str">
        <f t="shared" si="12"/>
        <v/>
      </c>
    </row>
    <row r="833" spans="1:1" x14ac:dyDescent="0.2">
      <c r="A833" t="str">
        <f t="shared" si="12"/>
        <v/>
      </c>
    </row>
    <row r="834" spans="1:1" x14ac:dyDescent="0.2">
      <c r="A834" t="str">
        <f t="shared" si="12"/>
        <v/>
      </c>
    </row>
    <row r="835" spans="1:1" x14ac:dyDescent="0.2">
      <c r="A835" t="str">
        <f t="shared" si="12"/>
        <v/>
      </c>
    </row>
    <row r="836" spans="1:1" x14ac:dyDescent="0.2">
      <c r="A836" t="str">
        <f t="shared" ref="A836:A899" si="13">B836&amp;C836&amp;D836&amp;E836</f>
        <v/>
      </c>
    </row>
    <row r="837" spans="1:1" x14ac:dyDescent="0.2">
      <c r="A837" t="str">
        <f t="shared" si="13"/>
        <v/>
      </c>
    </row>
    <row r="838" spans="1:1" x14ac:dyDescent="0.2">
      <c r="A838" t="str">
        <f t="shared" si="13"/>
        <v/>
      </c>
    </row>
    <row r="839" spans="1:1" x14ac:dyDescent="0.2">
      <c r="A839" t="str">
        <f t="shared" si="13"/>
        <v/>
      </c>
    </row>
    <row r="840" spans="1:1" x14ac:dyDescent="0.2">
      <c r="A840" t="str">
        <f t="shared" si="13"/>
        <v/>
      </c>
    </row>
    <row r="841" spans="1:1" x14ac:dyDescent="0.2">
      <c r="A841" t="str">
        <f t="shared" si="13"/>
        <v/>
      </c>
    </row>
    <row r="842" spans="1:1" x14ac:dyDescent="0.2">
      <c r="A842" t="str">
        <f t="shared" si="13"/>
        <v/>
      </c>
    </row>
    <row r="843" spans="1:1" x14ac:dyDescent="0.2">
      <c r="A843" t="str">
        <f t="shared" si="13"/>
        <v/>
      </c>
    </row>
    <row r="844" spans="1:1" x14ac:dyDescent="0.2">
      <c r="A844" t="str">
        <f t="shared" si="13"/>
        <v/>
      </c>
    </row>
    <row r="845" spans="1:1" x14ac:dyDescent="0.2">
      <c r="A845" t="str">
        <f t="shared" si="13"/>
        <v/>
      </c>
    </row>
    <row r="846" spans="1:1" x14ac:dyDescent="0.2">
      <c r="A846" t="str">
        <f t="shared" si="13"/>
        <v/>
      </c>
    </row>
    <row r="847" spans="1:1" x14ac:dyDescent="0.2">
      <c r="A847" t="str">
        <f t="shared" si="13"/>
        <v/>
      </c>
    </row>
    <row r="848" spans="1:1" x14ac:dyDescent="0.2">
      <c r="A848" t="str">
        <f t="shared" si="13"/>
        <v/>
      </c>
    </row>
    <row r="849" spans="1:1" x14ac:dyDescent="0.2">
      <c r="A849" t="str">
        <f t="shared" si="13"/>
        <v/>
      </c>
    </row>
    <row r="850" spans="1:1" x14ac:dyDescent="0.2">
      <c r="A850" t="str">
        <f t="shared" si="13"/>
        <v/>
      </c>
    </row>
    <row r="851" spans="1:1" x14ac:dyDescent="0.2">
      <c r="A851" t="str">
        <f t="shared" si="13"/>
        <v/>
      </c>
    </row>
    <row r="852" spans="1:1" x14ac:dyDescent="0.2">
      <c r="A852" t="str">
        <f t="shared" si="13"/>
        <v/>
      </c>
    </row>
    <row r="853" spans="1:1" x14ac:dyDescent="0.2">
      <c r="A853" t="str">
        <f t="shared" si="13"/>
        <v/>
      </c>
    </row>
    <row r="854" spans="1:1" x14ac:dyDescent="0.2">
      <c r="A854" t="str">
        <f t="shared" si="13"/>
        <v/>
      </c>
    </row>
    <row r="855" spans="1:1" x14ac:dyDescent="0.2">
      <c r="A855" t="str">
        <f t="shared" si="13"/>
        <v/>
      </c>
    </row>
    <row r="856" spans="1:1" x14ac:dyDescent="0.2">
      <c r="A856" t="str">
        <f t="shared" si="13"/>
        <v/>
      </c>
    </row>
    <row r="857" spans="1:1" x14ac:dyDescent="0.2">
      <c r="A857" t="str">
        <f t="shared" si="13"/>
        <v/>
      </c>
    </row>
    <row r="858" spans="1:1" x14ac:dyDescent="0.2">
      <c r="A858" t="str">
        <f t="shared" si="13"/>
        <v/>
      </c>
    </row>
    <row r="859" spans="1:1" x14ac:dyDescent="0.2">
      <c r="A859" t="str">
        <f t="shared" si="13"/>
        <v/>
      </c>
    </row>
    <row r="860" spans="1:1" x14ac:dyDescent="0.2">
      <c r="A860" t="str">
        <f t="shared" si="13"/>
        <v/>
      </c>
    </row>
    <row r="861" spans="1:1" x14ac:dyDescent="0.2">
      <c r="A861" t="str">
        <f t="shared" si="13"/>
        <v/>
      </c>
    </row>
    <row r="862" spans="1:1" x14ac:dyDescent="0.2">
      <c r="A862" t="str">
        <f t="shared" si="13"/>
        <v/>
      </c>
    </row>
    <row r="863" spans="1:1" x14ac:dyDescent="0.2">
      <c r="A863" t="str">
        <f t="shared" si="13"/>
        <v/>
      </c>
    </row>
    <row r="864" spans="1:1" x14ac:dyDescent="0.2">
      <c r="A864" t="str">
        <f t="shared" si="13"/>
        <v/>
      </c>
    </row>
    <row r="865" spans="1:1" x14ac:dyDescent="0.2">
      <c r="A865" t="str">
        <f t="shared" si="13"/>
        <v/>
      </c>
    </row>
    <row r="866" spans="1:1" x14ac:dyDescent="0.2">
      <c r="A866" t="str">
        <f t="shared" si="13"/>
        <v/>
      </c>
    </row>
    <row r="867" spans="1:1" x14ac:dyDescent="0.2">
      <c r="A867" t="str">
        <f t="shared" si="13"/>
        <v/>
      </c>
    </row>
    <row r="868" spans="1:1" x14ac:dyDescent="0.2">
      <c r="A868" t="str">
        <f t="shared" si="13"/>
        <v/>
      </c>
    </row>
    <row r="869" spans="1:1" x14ac:dyDescent="0.2">
      <c r="A869" t="str">
        <f t="shared" si="13"/>
        <v/>
      </c>
    </row>
    <row r="870" spans="1:1" x14ac:dyDescent="0.2">
      <c r="A870" t="str">
        <f t="shared" si="13"/>
        <v/>
      </c>
    </row>
    <row r="871" spans="1:1" x14ac:dyDescent="0.2">
      <c r="A871" t="str">
        <f t="shared" si="13"/>
        <v/>
      </c>
    </row>
    <row r="872" spans="1:1" x14ac:dyDescent="0.2">
      <c r="A872" t="str">
        <f t="shared" si="13"/>
        <v/>
      </c>
    </row>
    <row r="873" spans="1:1" x14ac:dyDescent="0.2">
      <c r="A873" t="str">
        <f t="shared" si="13"/>
        <v/>
      </c>
    </row>
    <row r="874" spans="1:1" x14ac:dyDescent="0.2">
      <c r="A874" t="str">
        <f t="shared" si="13"/>
        <v/>
      </c>
    </row>
    <row r="875" spans="1:1" x14ac:dyDescent="0.2">
      <c r="A875" t="str">
        <f t="shared" si="13"/>
        <v/>
      </c>
    </row>
    <row r="876" spans="1:1" x14ac:dyDescent="0.2">
      <c r="A876" t="str">
        <f t="shared" si="13"/>
        <v/>
      </c>
    </row>
    <row r="877" spans="1:1" x14ac:dyDescent="0.2">
      <c r="A877" t="str">
        <f t="shared" si="13"/>
        <v/>
      </c>
    </row>
    <row r="878" spans="1:1" x14ac:dyDescent="0.2">
      <c r="A878" t="str">
        <f t="shared" si="13"/>
        <v/>
      </c>
    </row>
    <row r="879" spans="1:1" x14ac:dyDescent="0.2">
      <c r="A879" t="str">
        <f t="shared" si="13"/>
        <v/>
      </c>
    </row>
    <row r="880" spans="1:1" x14ac:dyDescent="0.2">
      <c r="A880" t="str">
        <f t="shared" si="13"/>
        <v/>
      </c>
    </row>
    <row r="881" spans="1:1" x14ac:dyDescent="0.2">
      <c r="A881" t="str">
        <f t="shared" si="13"/>
        <v/>
      </c>
    </row>
    <row r="882" spans="1:1" x14ac:dyDescent="0.2">
      <c r="A882" t="str">
        <f t="shared" si="13"/>
        <v/>
      </c>
    </row>
    <row r="883" spans="1:1" x14ac:dyDescent="0.2">
      <c r="A883" t="str">
        <f t="shared" si="13"/>
        <v/>
      </c>
    </row>
    <row r="884" spans="1:1" x14ac:dyDescent="0.2">
      <c r="A884" t="str">
        <f t="shared" si="13"/>
        <v/>
      </c>
    </row>
    <row r="885" spans="1:1" x14ac:dyDescent="0.2">
      <c r="A885" t="str">
        <f t="shared" si="13"/>
        <v/>
      </c>
    </row>
    <row r="886" spans="1:1" x14ac:dyDescent="0.2">
      <c r="A886" t="str">
        <f t="shared" si="13"/>
        <v/>
      </c>
    </row>
    <row r="887" spans="1:1" x14ac:dyDescent="0.2">
      <c r="A887" t="str">
        <f t="shared" si="13"/>
        <v/>
      </c>
    </row>
    <row r="888" spans="1:1" x14ac:dyDescent="0.2">
      <c r="A888" t="str">
        <f t="shared" si="13"/>
        <v/>
      </c>
    </row>
    <row r="889" spans="1:1" x14ac:dyDescent="0.2">
      <c r="A889" t="str">
        <f t="shared" si="13"/>
        <v/>
      </c>
    </row>
    <row r="890" spans="1:1" x14ac:dyDescent="0.2">
      <c r="A890" t="str">
        <f t="shared" si="13"/>
        <v/>
      </c>
    </row>
    <row r="891" spans="1:1" x14ac:dyDescent="0.2">
      <c r="A891" t="str">
        <f t="shared" si="13"/>
        <v/>
      </c>
    </row>
    <row r="892" spans="1:1" x14ac:dyDescent="0.2">
      <c r="A892" t="str">
        <f t="shared" si="13"/>
        <v/>
      </c>
    </row>
    <row r="893" spans="1:1" x14ac:dyDescent="0.2">
      <c r="A893" t="str">
        <f t="shared" si="13"/>
        <v/>
      </c>
    </row>
    <row r="894" spans="1:1" x14ac:dyDescent="0.2">
      <c r="A894" t="str">
        <f t="shared" si="13"/>
        <v/>
      </c>
    </row>
    <row r="895" spans="1:1" x14ac:dyDescent="0.2">
      <c r="A895" t="str">
        <f t="shared" si="13"/>
        <v/>
      </c>
    </row>
    <row r="896" spans="1:1" x14ac:dyDescent="0.2">
      <c r="A896" t="str">
        <f t="shared" si="13"/>
        <v/>
      </c>
    </row>
    <row r="897" spans="1:1" x14ac:dyDescent="0.2">
      <c r="A897" t="str">
        <f t="shared" si="13"/>
        <v/>
      </c>
    </row>
    <row r="898" spans="1:1" x14ac:dyDescent="0.2">
      <c r="A898" t="str">
        <f t="shared" si="13"/>
        <v/>
      </c>
    </row>
    <row r="899" spans="1:1" x14ac:dyDescent="0.2">
      <c r="A899" t="str">
        <f t="shared" si="13"/>
        <v/>
      </c>
    </row>
    <row r="900" spans="1:1" x14ac:dyDescent="0.2">
      <c r="A900" t="str">
        <f t="shared" ref="A900:A963" si="14">B900&amp;C900&amp;D900&amp;E900</f>
        <v/>
      </c>
    </row>
    <row r="901" spans="1:1" x14ac:dyDescent="0.2">
      <c r="A901" t="str">
        <f t="shared" si="14"/>
        <v/>
      </c>
    </row>
    <row r="902" spans="1:1" x14ac:dyDescent="0.2">
      <c r="A902" t="str">
        <f t="shared" si="14"/>
        <v/>
      </c>
    </row>
    <row r="903" spans="1:1" x14ac:dyDescent="0.2">
      <c r="A903" t="str">
        <f t="shared" si="14"/>
        <v/>
      </c>
    </row>
    <row r="904" spans="1:1" x14ac:dyDescent="0.2">
      <c r="A904" t="str">
        <f t="shared" si="14"/>
        <v/>
      </c>
    </row>
    <row r="905" spans="1:1" x14ac:dyDescent="0.2">
      <c r="A905" t="str">
        <f t="shared" si="14"/>
        <v/>
      </c>
    </row>
    <row r="906" spans="1:1" x14ac:dyDescent="0.2">
      <c r="A906" t="str">
        <f t="shared" si="14"/>
        <v/>
      </c>
    </row>
    <row r="907" spans="1:1" x14ac:dyDescent="0.2">
      <c r="A907" t="str">
        <f t="shared" si="14"/>
        <v/>
      </c>
    </row>
    <row r="908" spans="1:1" x14ac:dyDescent="0.2">
      <c r="A908" t="str">
        <f t="shared" si="14"/>
        <v/>
      </c>
    </row>
    <row r="909" spans="1:1" x14ac:dyDescent="0.2">
      <c r="A909" t="str">
        <f t="shared" si="14"/>
        <v/>
      </c>
    </row>
    <row r="910" spans="1:1" x14ac:dyDescent="0.2">
      <c r="A910" t="str">
        <f t="shared" si="14"/>
        <v/>
      </c>
    </row>
    <row r="911" spans="1:1" x14ac:dyDescent="0.2">
      <c r="A911" t="str">
        <f t="shared" si="14"/>
        <v/>
      </c>
    </row>
    <row r="912" spans="1:1" x14ac:dyDescent="0.2">
      <c r="A912" t="str">
        <f t="shared" si="14"/>
        <v/>
      </c>
    </row>
    <row r="913" spans="1:1" x14ac:dyDescent="0.2">
      <c r="A913" t="str">
        <f t="shared" si="14"/>
        <v/>
      </c>
    </row>
    <row r="914" spans="1:1" x14ac:dyDescent="0.2">
      <c r="A914" t="str">
        <f t="shared" si="14"/>
        <v/>
      </c>
    </row>
    <row r="915" spans="1:1" x14ac:dyDescent="0.2">
      <c r="A915" t="str">
        <f t="shared" si="14"/>
        <v/>
      </c>
    </row>
    <row r="916" spans="1:1" x14ac:dyDescent="0.2">
      <c r="A916" t="str">
        <f t="shared" si="14"/>
        <v/>
      </c>
    </row>
    <row r="917" spans="1:1" x14ac:dyDescent="0.2">
      <c r="A917" t="str">
        <f t="shared" si="14"/>
        <v/>
      </c>
    </row>
    <row r="918" spans="1:1" x14ac:dyDescent="0.2">
      <c r="A918" t="str">
        <f t="shared" si="14"/>
        <v/>
      </c>
    </row>
    <row r="919" spans="1:1" x14ac:dyDescent="0.2">
      <c r="A919" t="str">
        <f t="shared" si="14"/>
        <v/>
      </c>
    </row>
    <row r="920" spans="1:1" x14ac:dyDescent="0.2">
      <c r="A920" t="str">
        <f t="shared" si="14"/>
        <v/>
      </c>
    </row>
    <row r="921" spans="1:1" x14ac:dyDescent="0.2">
      <c r="A921" t="str">
        <f t="shared" si="14"/>
        <v/>
      </c>
    </row>
    <row r="922" spans="1:1" x14ac:dyDescent="0.2">
      <c r="A922" t="str">
        <f t="shared" si="14"/>
        <v/>
      </c>
    </row>
    <row r="923" spans="1:1" x14ac:dyDescent="0.2">
      <c r="A923" t="str">
        <f t="shared" si="14"/>
        <v/>
      </c>
    </row>
    <row r="924" spans="1:1" x14ac:dyDescent="0.2">
      <c r="A924" t="str">
        <f t="shared" si="14"/>
        <v/>
      </c>
    </row>
    <row r="925" spans="1:1" x14ac:dyDescent="0.2">
      <c r="A925" t="str">
        <f t="shared" si="14"/>
        <v/>
      </c>
    </row>
    <row r="926" spans="1:1" x14ac:dyDescent="0.2">
      <c r="A926" t="str">
        <f t="shared" si="14"/>
        <v/>
      </c>
    </row>
    <row r="927" spans="1:1" x14ac:dyDescent="0.2">
      <c r="A927" t="str">
        <f t="shared" si="14"/>
        <v/>
      </c>
    </row>
    <row r="928" spans="1:1" x14ac:dyDescent="0.2">
      <c r="A928" t="str">
        <f t="shared" si="14"/>
        <v/>
      </c>
    </row>
    <row r="929" spans="1:1" x14ac:dyDescent="0.2">
      <c r="A929" t="str">
        <f t="shared" si="14"/>
        <v/>
      </c>
    </row>
    <row r="930" spans="1:1" x14ac:dyDescent="0.2">
      <c r="A930" t="str">
        <f t="shared" si="14"/>
        <v/>
      </c>
    </row>
    <row r="931" spans="1:1" x14ac:dyDescent="0.2">
      <c r="A931" t="str">
        <f t="shared" si="14"/>
        <v/>
      </c>
    </row>
    <row r="932" spans="1:1" x14ac:dyDescent="0.2">
      <c r="A932" t="str">
        <f t="shared" si="14"/>
        <v/>
      </c>
    </row>
    <row r="933" spans="1:1" x14ac:dyDescent="0.2">
      <c r="A933" t="str">
        <f t="shared" si="14"/>
        <v/>
      </c>
    </row>
    <row r="934" spans="1:1" x14ac:dyDescent="0.2">
      <c r="A934" t="str">
        <f t="shared" si="14"/>
        <v/>
      </c>
    </row>
    <row r="935" spans="1:1" x14ac:dyDescent="0.2">
      <c r="A935" t="str">
        <f t="shared" si="14"/>
        <v/>
      </c>
    </row>
    <row r="936" spans="1:1" x14ac:dyDescent="0.2">
      <c r="A936" t="str">
        <f t="shared" si="14"/>
        <v/>
      </c>
    </row>
    <row r="937" spans="1:1" x14ac:dyDescent="0.2">
      <c r="A937" t="str">
        <f t="shared" si="14"/>
        <v/>
      </c>
    </row>
    <row r="938" spans="1:1" x14ac:dyDescent="0.2">
      <c r="A938" t="str">
        <f t="shared" si="14"/>
        <v/>
      </c>
    </row>
    <row r="939" spans="1:1" x14ac:dyDescent="0.2">
      <c r="A939" t="str">
        <f t="shared" si="14"/>
        <v/>
      </c>
    </row>
    <row r="940" spans="1:1" x14ac:dyDescent="0.2">
      <c r="A940" t="str">
        <f t="shared" si="14"/>
        <v/>
      </c>
    </row>
    <row r="941" spans="1:1" x14ac:dyDescent="0.2">
      <c r="A941" t="str">
        <f t="shared" si="14"/>
        <v/>
      </c>
    </row>
    <row r="942" spans="1:1" x14ac:dyDescent="0.2">
      <c r="A942" t="str">
        <f t="shared" si="14"/>
        <v/>
      </c>
    </row>
    <row r="943" spans="1:1" x14ac:dyDescent="0.2">
      <c r="A943" t="str">
        <f t="shared" si="14"/>
        <v/>
      </c>
    </row>
    <row r="944" spans="1:1" x14ac:dyDescent="0.2">
      <c r="A944" t="str">
        <f t="shared" si="14"/>
        <v/>
      </c>
    </row>
    <row r="945" spans="1:1" x14ac:dyDescent="0.2">
      <c r="A945" t="str">
        <f t="shared" si="14"/>
        <v/>
      </c>
    </row>
    <row r="946" spans="1:1" x14ac:dyDescent="0.2">
      <c r="A946" t="str">
        <f t="shared" si="14"/>
        <v/>
      </c>
    </row>
    <row r="947" spans="1:1" x14ac:dyDescent="0.2">
      <c r="A947" t="str">
        <f t="shared" si="14"/>
        <v/>
      </c>
    </row>
    <row r="948" spans="1:1" x14ac:dyDescent="0.2">
      <c r="A948" t="str">
        <f t="shared" si="14"/>
        <v/>
      </c>
    </row>
    <row r="949" spans="1:1" x14ac:dyDescent="0.2">
      <c r="A949" t="str">
        <f t="shared" si="14"/>
        <v/>
      </c>
    </row>
    <row r="950" spans="1:1" x14ac:dyDescent="0.2">
      <c r="A950" t="str">
        <f t="shared" si="14"/>
        <v/>
      </c>
    </row>
    <row r="951" spans="1:1" x14ac:dyDescent="0.2">
      <c r="A951" t="str">
        <f t="shared" si="14"/>
        <v/>
      </c>
    </row>
    <row r="952" spans="1:1" x14ac:dyDescent="0.2">
      <c r="A952" t="str">
        <f t="shared" si="14"/>
        <v/>
      </c>
    </row>
    <row r="953" spans="1:1" x14ac:dyDescent="0.2">
      <c r="A953" t="str">
        <f t="shared" si="14"/>
        <v/>
      </c>
    </row>
    <row r="954" spans="1:1" x14ac:dyDescent="0.2">
      <c r="A954" t="str">
        <f t="shared" si="14"/>
        <v/>
      </c>
    </row>
    <row r="955" spans="1:1" x14ac:dyDescent="0.2">
      <c r="A955" t="str">
        <f t="shared" si="14"/>
        <v/>
      </c>
    </row>
    <row r="956" spans="1:1" x14ac:dyDescent="0.2">
      <c r="A956" t="str">
        <f t="shared" si="14"/>
        <v/>
      </c>
    </row>
    <row r="957" spans="1:1" x14ac:dyDescent="0.2">
      <c r="A957" t="str">
        <f t="shared" si="14"/>
        <v/>
      </c>
    </row>
    <row r="958" spans="1:1" x14ac:dyDescent="0.2">
      <c r="A958" t="str">
        <f t="shared" si="14"/>
        <v/>
      </c>
    </row>
    <row r="959" spans="1:1" x14ac:dyDescent="0.2">
      <c r="A959" t="str">
        <f t="shared" si="14"/>
        <v/>
      </c>
    </row>
    <row r="960" spans="1:1" x14ac:dyDescent="0.2">
      <c r="A960" t="str">
        <f t="shared" si="14"/>
        <v/>
      </c>
    </row>
    <row r="961" spans="1:1" x14ac:dyDescent="0.2">
      <c r="A961" t="str">
        <f t="shared" si="14"/>
        <v/>
      </c>
    </row>
    <row r="962" spans="1:1" x14ac:dyDescent="0.2">
      <c r="A962" t="str">
        <f t="shared" si="14"/>
        <v/>
      </c>
    </row>
    <row r="963" spans="1:1" x14ac:dyDescent="0.2">
      <c r="A963" t="str">
        <f t="shared" si="14"/>
        <v/>
      </c>
    </row>
    <row r="964" spans="1:1" x14ac:dyDescent="0.2">
      <c r="A964" t="str">
        <f t="shared" ref="A964:A1027" si="15">B964&amp;C964&amp;D964&amp;E964</f>
        <v/>
      </c>
    </row>
    <row r="965" spans="1:1" x14ac:dyDescent="0.2">
      <c r="A965" t="str">
        <f t="shared" si="15"/>
        <v/>
      </c>
    </row>
    <row r="966" spans="1:1" x14ac:dyDescent="0.2">
      <c r="A966" t="str">
        <f t="shared" si="15"/>
        <v/>
      </c>
    </row>
    <row r="967" spans="1:1" x14ac:dyDescent="0.2">
      <c r="A967" t="str">
        <f t="shared" si="15"/>
        <v/>
      </c>
    </row>
    <row r="968" spans="1:1" x14ac:dyDescent="0.2">
      <c r="A968" t="str">
        <f t="shared" si="15"/>
        <v/>
      </c>
    </row>
    <row r="969" spans="1:1" x14ac:dyDescent="0.2">
      <c r="A969" t="str">
        <f t="shared" si="15"/>
        <v/>
      </c>
    </row>
    <row r="970" spans="1:1" x14ac:dyDescent="0.2">
      <c r="A970" t="str">
        <f t="shared" si="15"/>
        <v/>
      </c>
    </row>
    <row r="971" spans="1:1" x14ac:dyDescent="0.2">
      <c r="A971" t="str">
        <f t="shared" si="15"/>
        <v/>
      </c>
    </row>
    <row r="972" spans="1:1" x14ac:dyDescent="0.2">
      <c r="A972" t="str">
        <f t="shared" si="15"/>
        <v/>
      </c>
    </row>
    <row r="973" spans="1:1" x14ac:dyDescent="0.2">
      <c r="A973" t="str">
        <f t="shared" si="15"/>
        <v/>
      </c>
    </row>
    <row r="974" spans="1:1" x14ac:dyDescent="0.2">
      <c r="A974" t="str">
        <f t="shared" si="15"/>
        <v/>
      </c>
    </row>
    <row r="975" spans="1:1" x14ac:dyDescent="0.2">
      <c r="A975" t="str">
        <f t="shared" si="15"/>
        <v/>
      </c>
    </row>
    <row r="976" spans="1:1" x14ac:dyDescent="0.2">
      <c r="A976" t="str">
        <f t="shared" si="15"/>
        <v/>
      </c>
    </row>
    <row r="977" spans="1:1" x14ac:dyDescent="0.2">
      <c r="A977" t="str">
        <f t="shared" si="15"/>
        <v/>
      </c>
    </row>
    <row r="978" spans="1:1" x14ac:dyDescent="0.2">
      <c r="A978" t="str">
        <f t="shared" si="15"/>
        <v/>
      </c>
    </row>
    <row r="979" spans="1:1" x14ac:dyDescent="0.2">
      <c r="A979" t="str">
        <f t="shared" si="15"/>
        <v/>
      </c>
    </row>
    <row r="980" spans="1:1" x14ac:dyDescent="0.2">
      <c r="A980" t="str">
        <f t="shared" si="15"/>
        <v/>
      </c>
    </row>
    <row r="981" spans="1:1" x14ac:dyDescent="0.2">
      <c r="A981" t="str">
        <f t="shared" si="15"/>
        <v/>
      </c>
    </row>
    <row r="982" spans="1:1" x14ac:dyDescent="0.2">
      <c r="A982" t="str">
        <f t="shared" si="15"/>
        <v/>
      </c>
    </row>
    <row r="983" spans="1:1" x14ac:dyDescent="0.2">
      <c r="A983" t="str">
        <f t="shared" si="15"/>
        <v/>
      </c>
    </row>
    <row r="984" spans="1:1" x14ac:dyDescent="0.2">
      <c r="A984" t="str">
        <f t="shared" si="15"/>
        <v/>
      </c>
    </row>
    <row r="985" spans="1:1" x14ac:dyDescent="0.2">
      <c r="A985" t="str">
        <f t="shared" si="15"/>
        <v/>
      </c>
    </row>
    <row r="986" spans="1:1" x14ac:dyDescent="0.2">
      <c r="A986" t="str">
        <f t="shared" si="15"/>
        <v/>
      </c>
    </row>
    <row r="987" spans="1:1" x14ac:dyDescent="0.2">
      <c r="A987" t="str">
        <f t="shared" si="15"/>
        <v/>
      </c>
    </row>
    <row r="988" spans="1:1" x14ac:dyDescent="0.2">
      <c r="A988" t="str">
        <f t="shared" si="15"/>
        <v/>
      </c>
    </row>
    <row r="989" spans="1:1" x14ac:dyDescent="0.2">
      <c r="A989" t="str">
        <f t="shared" si="15"/>
        <v/>
      </c>
    </row>
    <row r="990" spans="1:1" x14ac:dyDescent="0.2">
      <c r="A990" t="str">
        <f t="shared" si="15"/>
        <v/>
      </c>
    </row>
    <row r="991" spans="1:1" x14ac:dyDescent="0.2">
      <c r="A991" t="str">
        <f t="shared" si="15"/>
        <v/>
      </c>
    </row>
    <row r="992" spans="1:1" x14ac:dyDescent="0.2">
      <c r="A992" t="str">
        <f t="shared" si="15"/>
        <v/>
      </c>
    </row>
    <row r="993" spans="1:1" x14ac:dyDescent="0.2">
      <c r="A993" t="str">
        <f t="shared" si="15"/>
        <v/>
      </c>
    </row>
    <row r="994" spans="1:1" x14ac:dyDescent="0.2">
      <c r="A994" t="str">
        <f t="shared" si="15"/>
        <v/>
      </c>
    </row>
    <row r="995" spans="1:1" x14ac:dyDescent="0.2">
      <c r="A995" t="str">
        <f t="shared" si="15"/>
        <v/>
      </c>
    </row>
    <row r="996" spans="1:1" x14ac:dyDescent="0.2">
      <c r="A996" t="str">
        <f t="shared" si="15"/>
        <v/>
      </c>
    </row>
    <row r="997" spans="1:1" x14ac:dyDescent="0.2">
      <c r="A997" t="str">
        <f t="shared" si="15"/>
        <v/>
      </c>
    </row>
    <row r="998" spans="1:1" x14ac:dyDescent="0.2">
      <c r="A998" t="str">
        <f t="shared" si="15"/>
        <v/>
      </c>
    </row>
    <row r="999" spans="1:1" x14ac:dyDescent="0.2">
      <c r="A999" t="str">
        <f t="shared" si="15"/>
        <v/>
      </c>
    </row>
    <row r="1000" spans="1:1" x14ac:dyDescent="0.2">
      <c r="A1000" t="str">
        <f t="shared" si="15"/>
        <v/>
      </c>
    </row>
    <row r="1001" spans="1:1" x14ac:dyDescent="0.2">
      <c r="A1001" t="str">
        <f t="shared" si="15"/>
        <v/>
      </c>
    </row>
    <row r="1002" spans="1:1" x14ac:dyDescent="0.2">
      <c r="A1002" t="str">
        <f t="shared" si="15"/>
        <v/>
      </c>
    </row>
    <row r="1003" spans="1:1" x14ac:dyDescent="0.2">
      <c r="A1003" t="str">
        <f t="shared" si="15"/>
        <v/>
      </c>
    </row>
    <row r="1004" spans="1:1" x14ac:dyDescent="0.2">
      <c r="A1004" t="str">
        <f t="shared" si="15"/>
        <v/>
      </c>
    </row>
    <row r="1005" spans="1:1" x14ac:dyDescent="0.2">
      <c r="A1005" t="str">
        <f t="shared" si="15"/>
        <v/>
      </c>
    </row>
    <row r="1006" spans="1:1" x14ac:dyDescent="0.2">
      <c r="A1006" t="str">
        <f t="shared" si="15"/>
        <v/>
      </c>
    </row>
    <row r="1007" spans="1:1" x14ac:dyDescent="0.2">
      <c r="A1007" t="str">
        <f t="shared" si="15"/>
        <v/>
      </c>
    </row>
    <row r="1008" spans="1:1" x14ac:dyDescent="0.2">
      <c r="A1008" t="str">
        <f t="shared" si="15"/>
        <v/>
      </c>
    </row>
    <row r="1009" spans="1:1" x14ac:dyDescent="0.2">
      <c r="A1009" t="str">
        <f t="shared" si="15"/>
        <v/>
      </c>
    </row>
    <row r="1010" spans="1:1" x14ac:dyDescent="0.2">
      <c r="A1010" t="str">
        <f t="shared" si="15"/>
        <v/>
      </c>
    </row>
    <row r="1011" spans="1:1" x14ac:dyDescent="0.2">
      <c r="A1011" t="str">
        <f t="shared" si="15"/>
        <v/>
      </c>
    </row>
    <row r="1012" spans="1:1" x14ac:dyDescent="0.2">
      <c r="A1012" t="str">
        <f t="shared" si="15"/>
        <v/>
      </c>
    </row>
    <row r="1013" spans="1:1" x14ac:dyDescent="0.2">
      <c r="A1013" t="str">
        <f t="shared" si="15"/>
        <v/>
      </c>
    </row>
    <row r="1014" spans="1:1" x14ac:dyDescent="0.2">
      <c r="A1014" t="str">
        <f t="shared" si="15"/>
        <v/>
      </c>
    </row>
    <row r="1015" spans="1:1" x14ac:dyDescent="0.2">
      <c r="A1015" t="str">
        <f t="shared" si="15"/>
        <v/>
      </c>
    </row>
    <row r="1016" spans="1:1" x14ac:dyDescent="0.2">
      <c r="A1016" t="str">
        <f t="shared" si="15"/>
        <v/>
      </c>
    </row>
    <row r="1017" spans="1:1" x14ac:dyDescent="0.2">
      <c r="A1017" t="str">
        <f t="shared" si="15"/>
        <v/>
      </c>
    </row>
    <row r="1018" spans="1:1" x14ac:dyDescent="0.2">
      <c r="A1018" t="str">
        <f t="shared" si="15"/>
        <v/>
      </c>
    </row>
    <row r="1019" spans="1:1" x14ac:dyDescent="0.2">
      <c r="A1019" t="str">
        <f t="shared" si="15"/>
        <v/>
      </c>
    </row>
    <row r="1020" spans="1:1" x14ac:dyDescent="0.2">
      <c r="A1020" t="str">
        <f t="shared" si="15"/>
        <v/>
      </c>
    </row>
    <row r="1021" spans="1:1" x14ac:dyDescent="0.2">
      <c r="A1021" t="str">
        <f t="shared" si="15"/>
        <v/>
      </c>
    </row>
    <row r="1022" spans="1:1" x14ac:dyDescent="0.2">
      <c r="A1022" t="str">
        <f t="shared" si="15"/>
        <v/>
      </c>
    </row>
    <row r="1023" spans="1:1" x14ac:dyDescent="0.2">
      <c r="A1023" t="str">
        <f t="shared" si="15"/>
        <v/>
      </c>
    </row>
    <row r="1024" spans="1:1" x14ac:dyDescent="0.2">
      <c r="A1024" t="str">
        <f t="shared" si="15"/>
        <v/>
      </c>
    </row>
    <row r="1025" spans="1:1" x14ac:dyDescent="0.2">
      <c r="A1025" t="str">
        <f t="shared" si="15"/>
        <v/>
      </c>
    </row>
    <row r="1026" spans="1:1" x14ac:dyDescent="0.2">
      <c r="A1026" t="str">
        <f t="shared" si="15"/>
        <v/>
      </c>
    </row>
    <row r="1027" spans="1:1" x14ac:dyDescent="0.2">
      <c r="A1027" t="str">
        <f t="shared" si="15"/>
        <v/>
      </c>
    </row>
    <row r="1028" spans="1:1" x14ac:dyDescent="0.2">
      <c r="A1028" t="str">
        <f t="shared" ref="A1028:A1083" si="16">B1028&amp;C1028&amp;D1028&amp;E1028</f>
        <v/>
      </c>
    </row>
    <row r="1029" spans="1:1" x14ac:dyDescent="0.2">
      <c r="A1029" t="str">
        <f t="shared" si="16"/>
        <v/>
      </c>
    </row>
    <row r="1030" spans="1:1" x14ac:dyDescent="0.2">
      <c r="A1030" t="str">
        <f t="shared" si="16"/>
        <v/>
      </c>
    </row>
    <row r="1031" spans="1:1" x14ac:dyDescent="0.2">
      <c r="A1031" t="str">
        <f t="shared" si="16"/>
        <v/>
      </c>
    </row>
    <row r="1032" spans="1:1" x14ac:dyDescent="0.2">
      <c r="A1032" t="str">
        <f t="shared" si="16"/>
        <v/>
      </c>
    </row>
    <row r="1033" spans="1:1" x14ac:dyDescent="0.2">
      <c r="A1033" t="str">
        <f t="shared" si="16"/>
        <v/>
      </c>
    </row>
    <row r="1034" spans="1:1" x14ac:dyDescent="0.2">
      <c r="A1034" t="str">
        <f t="shared" si="16"/>
        <v/>
      </c>
    </row>
    <row r="1035" spans="1:1" x14ac:dyDescent="0.2">
      <c r="A1035" t="str">
        <f t="shared" si="16"/>
        <v/>
      </c>
    </row>
    <row r="1036" spans="1:1" x14ac:dyDescent="0.2">
      <c r="A1036" t="str">
        <f t="shared" si="16"/>
        <v/>
      </c>
    </row>
    <row r="1037" spans="1:1" x14ac:dyDescent="0.2">
      <c r="A1037" t="str">
        <f t="shared" si="16"/>
        <v/>
      </c>
    </row>
    <row r="1038" spans="1:1" x14ac:dyDescent="0.2">
      <c r="A1038" t="str">
        <f t="shared" si="16"/>
        <v/>
      </c>
    </row>
    <row r="1039" spans="1:1" x14ac:dyDescent="0.2">
      <c r="A1039" t="str">
        <f t="shared" si="16"/>
        <v/>
      </c>
    </row>
    <row r="1040" spans="1:1" x14ac:dyDescent="0.2">
      <c r="A1040" t="str">
        <f t="shared" si="16"/>
        <v/>
      </c>
    </row>
    <row r="1041" spans="1:1" x14ac:dyDescent="0.2">
      <c r="A1041" t="str">
        <f t="shared" si="16"/>
        <v/>
      </c>
    </row>
    <row r="1042" spans="1:1" x14ac:dyDescent="0.2">
      <c r="A1042" t="str">
        <f t="shared" si="16"/>
        <v/>
      </c>
    </row>
    <row r="1043" spans="1:1" x14ac:dyDescent="0.2">
      <c r="A1043" t="str">
        <f t="shared" si="16"/>
        <v/>
      </c>
    </row>
    <row r="1044" spans="1:1" x14ac:dyDescent="0.2">
      <c r="A1044" t="str">
        <f t="shared" si="16"/>
        <v/>
      </c>
    </row>
    <row r="1045" spans="1:1" x14ac:dyDescent="0.2">
      <c r="A1045" t="str">
        <f t="shared" si="16"/>
        <v/>
      </c>
    </row>
    <row r="1046" spans="1:1" x14ac:dyDescent="0.2">
      <c r="A1046" t="str">
        <f t="shared" si="16"/>
        <v/>
      </c>
    </row>
    <row r="1047" spans="1:1" x14ac:dyDescent="0.2">
      <c r="A1047" t="str">
        <f t="shared" si="16"/>
        <v/>
      </c>
    </row>
    <row r="1048" spans="1:1" x14ac:dyDescent="0.2">
      <c r="A1048" t="str">
        <f t="shared" si="16"/>
        <v/>
      </c>
    </row>
    <row r="1049" spans="1:1" x14ac:dyDescent="0.2">
      <c r="A1049" t="str">
        <f t="shared" si="16"/>
        <v/>
      </c>
    </row>
    <row r="1050" spans="1:1" x14ac:dyDescent="0.2">
      <c r="A1050" t="str">
        <f t="shared" si="16"/>
        <v/>
      </c>
    </row>
    <row r="1051" spans="1:1" x14ac:dyDescent="0.2">
      <c r="A1051" t="str">
        <f t="shared" si="16"/>
        <v/>
      </c>
    </row>
    <row r="1052" spans="1:1" x14ac:dyDescent="0.2">
      <c r="A1052" t="str">
        <f t="shared" si="16"/>
        <v/>
      </c>
    </row>
    <row r="1053" spans="1:1" x14ac:dyDescent="0.2">
      <c r="A1053" t="str">
        <f t="shared" si="16"/>
        <v/>
      </c>
    </row>
    <row r="1054" spans="1:1" x14ac:dyDescent="0.2">
      <c r="A1054" t="str">
        <f t="shared" si="16"/>
        <v/>
      </c>
    </row>
    <row r="1055" spans="1:1" x14ac:dyDescent="0.2">
      <c r="A1055" t="str">
        <f t="shared" si="16"/>
        <v/>
      </c>
    </row>
    <row r="1056" spans="1:1" x14ac:dyDescent="0.2">
      <c r="A1056" t="str">
        <f t="shared" si="16"/>
        <v/>
      </c>
    </row>
    <row r="1057" spans="1:1" x14ac:dyDescent="0.2">
      <c r="A1057" t="str">
        <f t="shared" si="16"/>
        <v/>
      </c>
    </row>
    <row r="1058" spans="1:1" x14ac:dyDescent="0.2">
      <c r="A1058" t="str">
        <f t="shared" si="16"/>
        <v/>
      </c>
    </row>
    <row r="1059" spans="1:1" x14ac:dyDescent="0.2">
      <c r="A1059" t="str">
        <f t="shared" si="16"/>
        <v/>
      </c>
    </row>
    <row r="1060" spans="1:1" x14ac:dyDescent="0.2">
      <c r="A1060" t="str">
        <f t="shared" si="16"/>
        <v/>
      </c>
    </row>
    <row r="1061" spans="1:1" x14ac:dyDescent="0.2">
      <c r="A1061" t="str">
        <f t="shared" si="16"/>
        <v/>
      </c>
    </row>
    <row r="1062" spans="1:1" x14ac:dyDescent="0.2">
      <c r="A1062" t="str">
        <f t="shared" si="16"/>
        <v/>
      </c>
    </row>
    <row r="1063" spans="1:1" x14ac:dyDescent="0.2">
      <c r="A1063" t="str">
        <f t="shared" si="16"/>
        <v/>
      </c>
    </row>
    <row r="1064" spans="1:1" x14ac:dyDescent="0.2">
      <c r="A1064" t="str">
        <f t="shared" si="16"/>
        <v/>
      </c>
    </row>
    <row r="1065" spans="1:1" x14ac:dyDescent="0.2">
      <c r="A1065" t="str">
        <f t="shared" si="16"/>
        <v/>
      </c>
    </row>
    <row r="1066" spans="1:1" x14ac:dyDescent="0.2">
      <c r="A1066" t="str">
        <f t="shared" si="16"/>
        <v/>
      </c>
    </row>
    <row r="1067" spans="1:1" x14ac:dyDescent="0.2">
      <c r="A1067" t="str">
        <f t="shared" si="16"/>
        <v/>
      </c>
    </row>
    <row r="1068" spans="1:1" x14ac:dyDescent="0.2">
      <c r="A1068" t="str">
        <f t="shared" si="16"/>
        <v/>
      </c>
    </row>
    <row r="1069" spans="1:1" x14ac:dyDescent="0.2">
      <c r="A1069" t="str">
        <f t="shared" si="16"/>
        <v/>
      </c>
    </row>
    <row r="1070" spans="1:1" x14ac:dyDescent="0.2">
      <c r="A1070" t="str">
        <f t="shared" si="16"/>
        <v/>
      </c>
    </row>
    <row r="1071" spans="1:1" x14ac:dyDescent="0.2">
      <c r="A1071" t="str">
        <f t="shared" si="16"/>
        <v/>
      </c>
    </row>
    <row r="1072" spans="1:1" x14ac:dyDescent="0.2">
      <c r="A1072" t="str">
        <f t="shared" si="16"/>
        <v/>
      </c>
    </row>
    <row r="1073" spans="1:1" x14ac:dyDescent="0.2">
      <c r="A1073" t="str">
        <f t="shared" si="16"/>
        <v/>
      </c>
    </row>
    <row r="1074" spans="1:1" x14ac:dyDescent="0.2">
      <c r="A1074" t="str">
        <f t="shared" si="16"/>
        <v/>
      </c>
    </row>
    <row r="1075" spans="1:1" x14ac:dyDescent="0.2">
      <c r="A1075" t="str">
        <f t="shared" si="16"/>
        <v/>
      </c>
    </row>
    <row r="1076" spans="1:1" x14ac:dyDescent="0.2">
      <c r="A1076" t="str">
        <f t="shared" si="16"/>
        <v/>
      </c>
    </row>
    <row r="1077" spans="1:1" x14ac:dyDescent="0.2">
      <c r="A1077" t="str">
        <f t="shared" si="16"/>
        <v/>
      </c>
    </row>
    <row r="1078" spans="1:1" x14ac:dyDescent="0.2">
      <c r="A1078" t="str">
        <f t="shared" si="16"/>
        <v/>
      </c>
    </row>
    <row r="1079" spans="1:1" x14ac:dyDescent="0.2">
      <c r="A1079" t="str">
        <f t="shared" si="16"/>
        <v/>
      </c>
    </row>
    <row r="1080" spans="1:1" x14ac:dyDescent="0.2">
      <c r="A1080" t="str">
        <f t="shared" si="16"/>
        <v/>
      </c>
    </row>
    <row r="1081" spans="1:1" x14ac:dyDescent="0.2">
      <c r="A1081" t="str">
        <f t="shared" si="16"/>
        <v/>
      </c>
    </row>
    <row r="1082" spans="1:1" x14ac:dyDescent="0.2">
      <c r="A1082" t="str">
        <f t="shared" si="16"/>
        <v/>
      </c>
    </row>
    <row r="1083" spans="1:1" x14ac:dyDescent="0.2">
      <c r="A1083" t="str">
        <f t="shared" si="16"/>
        <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workbookViewId="0">
      <selection activeCell="J24" sqref="J24"/>
    </sheetView>
  </sheetViews>
  <sheetFormatPr defaultRowHeight="12.75" x14ac:dyDescent="0.2"/>
  <cols>
    <col min="2" max="2" width="11.42578125" customWidth="1"/>
  </cols>
  <sheetData>
    <row r="1" spans="1:26" x14ac:dyDescent="0.2">
      <c r="A1" s="6">
        <v>1</v>
      </c>
      <c r="B1" s="1" t="s">
        <v>2</v>
      </c>
      <c r="C1" s="1">
        <v>1</v>
      </c>
      <c r="D1" s="5"/>
      <c r="E1" s="7">
        <v>1</v>
      </c>
      <c r="F1" s="1" t="s">
        <v>0</v>
      </c>
      <c r="G1" s="1">
        <v>1</v>
      </c>
      <c r="H1" s="5"/>
      <c r="I1" s="6">
        <v>1</v>
      </c>
      <c r="J1" t="s">
        <v>18</v>
      </c>
      <c r="K1">
        <v>1</v>
      </c>
      <c r="M1" t="s">
        <v>27</v>
      </c>
      <c r="O1" s="243">
        <v>19</v>
      </c>
      <c r="P1" t="s">
        <v>6</v>
      </c>
      <c r="R1" t="s">
        <v>36</v>
      </c>
      <c r="W1" t="s">
        <v>15</v>
      </c>
      <c r="X1" t="s">
        <v>14</v>
      </c>
      <c r="Y1">
        <v>1</v>
      </c>
      <c r="Z1" t="s">
        <v>63</v>
      </c>
    </row>
    <row r="2" spans="1:26" x14ac:dyDescent="0.2">
      <c r="A2" s="6">
        <v>2</v>
      </c>
      <c r="B2" s="1" t="s">
        <v>3</v>
      </c>
      <c r="C2" s="1"/>
      <c r="D2" s="1"/>
      <c r="E2" s="7">
        <v>2</v>
      </c>
      <c r="F2" s="1" t="s">
        <v>17</v>
      </c>
      <c r="G2" s="1"/>
      <c r="H2" s="1"/>
      <c r="I2" s="6">
        <v>2</v>
      </c>
      <c r="J2" t="s">
        <v>19</v>
      </c>
      <c r="K2">
        <v>2</v>
      </c>
      <c r="M2" t="s">
        <v>28</v>
      </c>
      <c r="O2" s="243">
        <v>22</v>
      </c>
      <c r="P2" t="s">
        <v>20</v>
      </c>
      <c r="R2" t="s">
        <v>39</v>
      </c>
      <c r="W2" t="s">
        <v>66</v>
      </c>
      <c r="X2" t="s">
        <v>17</v>
      </c>
      <c r="Y2">
        <v>2</v>
      </c>
      <c r="Z2" t="s">
        <v>43</v>
      </c>
    </row>
    <row r="3" spans="1:26" x14ac:dyDescent="0.2">
      <c r="A3" s="6">
        <v>3</v>
      </c>
      <c r="B3" s="1" t="s">
        <v>4</v>
      </c>
      <c r="C3" s="1"/>
      <c r="D3" s="1"/>
      <c r="E3" s="7">
        <v>3</v>
      </c>
      <c r="F3" s="1" t="s">
        <v>5</v>
      </c>
      <c r="G3" s="1"/>
      <c r="H3" s="1"/>
      <c r="I3" s="5"/>
      <c r="M3" t="s">
        <v>29</v>
      </c>
      <c r="O3" s="243">
        <v>23</v>
      </c>
      <c r="P3" t="s">
        <v>21</v>
      </c>
      <c r="R3" t="s">
        <v>40</v>
      </c>
      <c r="W3" t="s">
        <v>65</v>
      </c>
      <c r="X3" t="s">
        <v>5</v>
      </c>
      <c r="Y3">
        <v>3</v>
      </c>
      <c r="Z3" t="s">
        <v>44</v>
      </c>
    </row>
    <row r="4" spans="1:26" x14ac:dyDescent="0.2">
      <c r="A4" s="5"/>
      <c r="B4" s="5"/>
      <c r="C4" s="5"/>
      <c r="D4" s="5"/>
      <c r="E4" s="5"/>
      <c r="F4" s="5"/>
      <c r="G4" s="5"/>
      <c r="H4" s="5"/>
      <c r="I4" s="5"/>
      <c r="M4" t="s">
        <v>30</v>
      </c>
      <c r="O4" s="243">
        <v>24</v>
      </c>
      <c r="P4" t="s">
        <v>22</v>
      </c>
      <c r="R4" t="s">
        <v>35</v>
      </c>
      <c r="W4" t="s">
        <v>38</v>
      </c>
      <c r="Y4">
        <v>4</v>
      </c>
      <c r="Z4" t="s">
        <v>45</v>
      </c>
    </row>
    <row r="5" spans="1:26" x14ac:dyDescent="0.2">
      <c r="M5" t="s">
        <v>31</v>
      </c>
      <c r="O5" s="243">
        <v>25</v>
      </c>
      <c r="P5" t="s">
        <v>23</v>
      </c>
      <c r="R5" t="s">
        <v>37</v>
      </c>
      <c r="Y5">
        <v>5</v>
      </c>
      <c r="Z5" t="s">
        <v>46</v>
      </c>
    </row>
    <row r="6" spans="1:26" x14ac:dyDescent="0.2">
      <c r="R6" t="s">
        <v>42</v>
      </c>
      <c r="Z6" t="s">
        <v>47</v>
      </c>
    </row>
    <row r="7" spans="1:26" x14ac:dyDescent="0.2">
      <c r="R7" t="s">
        <v>41</v>
      </c>
      <c r="Z7" t="s">
        <v>48</v>
      </c>
    </row>
    <row r="8" spans="1:26" x14ac:dyDescent="0.2">
      <c r="R8" t="s">
        <v>38</v>
      </c>
      <c r="Z8" t="s">
        <v>49</v>
      </c>
    </row>
    <row r="9" spans="1:26" x14ac:dyDescent="0.2">
      <c r="Z9" t="s">
        <v>50</v>
      </c>
    </row>
    <row r="10" spans="1:26" x14ac:dyDescent="0.2">
      <c r="A10" t="s">
        <v>90</v>
      </c>
      <c r="Z10" t="s">
        <v>51</v>
      </c>
    </row>
    <row r="11" spans="1:26" x14ac:dyDescent="0.2">
      <c r="A11" t="s">
        <v>74</v>
      </c>
      <c r="B11" t="s">
        <v>75</v>
      </c>
      <c r="C11" t="s">
        <v>76</v>
      </c>
      <c r="D11" t="s">
        <v>77</v>
      </c>
      <c r="E11" t="s">
        <v>78</v>
      </c>
      <c r="F11" t="s">
        <v>80</v>
      </c>
      <c r="G11" t="s">
        <v>81</v>
      </c>
      <c r="H11" t="s">
        <v>82</v>
      </c>
      <c r="I11" t="s">
        <v>83</v>
      </c>
      <c r="J11" t="s">
        <v>84</v>
      </c>
      <c r="K11" t="s">
        <v>85</v>
      </c>
      <c r="L11" t="s">
        <v>86</v>
      </c>
      <c r="M11" t="s">
        <v>87</v>
      </c>
      <c r="N11" t="s">
        <v>88</v>
      </c>
      <c r="O11" t="s">
        <v>89</v>
      </c>
      <c r="P11" t="s">
        <v>79</v>
      </c>
      <c r="Z11" t="s">
        <v>52</v>
      </c>
    </row>
    <row r="12" spans="1:26" x14ac:dyDescent="0.2">
      <c r="A12">
        <v>3</v>
      </c>
      <c r="B12">
        <v>4</v>
      </c>
      <c r="C12">
        <v>5</v>
      </c>
      <c r="D12">
        <v>6</v>
      </c>
      <c r="E12">
        <v>7</v>
      </c>
      <c r="F12">
        <v>8</v>
      </c>
      <c r="G12">
        <v>9</v>
      </c>
      <c r="H12">
        <v>10</v>
      </c>
      <c r="I12">
        <v>11</v>
      </c>
      <c r="J12">
        <v>12</v>
      </c>
      <c r="K12">
        <v>13</v>
      </c>
      <c r="L12">
        <v>14</v>
      </c>
      <c r="M12">
        <v>15</v>
      </c>
      <c r="N12">
        <v>16</v>
      </c>
      <c r="O12">
        <v>17</v>
      </c>
      <c r="P12">
        <v>18</v>
      </c>
      <c r="Z12" t="s">
        <v>53</v>
      </c>
    </row>
    <row r="13" spans="1:26" x14ac:dyDescent="0.2">
      <c r="Z13" t="s">
        <v>54</v>
      </c>
    </row>
    <row r="14" spans="1:26" x14ac:dyDescent="0.2">
      <c r="Z14" t="s">
        <v>55</v>
      </c>
    </row>
    <row r="15" spans="1:26" x14ac:dyDescent="0.2">
      <c r="Z15" t="s">
        <v>56</v>
      </c>
    </row>
    <row r="16" spans="1:26" x14ac:dyDescent="0.2">
      <c r="Z16" t="s">
        <v>57</v>
      </c>
    </row>
    <row r="17" spans="26:26" x14ac:dyDescent="0.2">
      <c r="Z17" t="s">
        <v>58</v>
      </c>
    </row>
    <row r="18" spans="26:26" x14ac:dyDescent="0.2">
      <c r="Z18" t="s">
        <v>59</v>
      </c>
    </row>
    <row r="19" spans="26:26" x14ac:dyDescent="0.2">
      <c r="Z19" t="s">
        <v>60</v>
      </c>
    </row>
    <row r="20" spans="26:26" x14ac:dyDescent="0.2">
      <c r="Z20" t="s">
        <v>61</v>
      </c>
    </row>
    <row r="21" spans="26:26" x14ac:dyDescent="0.2">
      <c r="Z21" t="s">
        <v>62</v>
      </c>
    </row>
    <row r="22" spans="26:26" x14ac:dyDescent="0.2">
      <c r="Z22" t="s">
        <v>64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Intro</vt:lpstr>
      <vt:lpstr>Contents</vt:lpstr>
      <vt:lpstr>Quick facts</vt:lpstr>
      <vt:lpstr>Age Sex</vt:lpstr>
      <vt:lpstr>Māori Non-Māori</vt:lpstr>
      <vt:lpstr>About</vt:lpstr>
      <vt:lpstr>Codes</vt:lpstr>
      <vt:lpstr>Data</vt:lpstr>
      <vt:lpstr>ref</vt:lpstr>
      <vt:lpstr>About!_Toc126059762</vt:lpstr>
      <vt:lpstr>Codes!_Toc462301296</vt:lpstr>
      <vt:lpstr>agesextable</vt:lpstr>
      <vt:lpstr>About!Print_Area</vt:lpstr>
      <vt:lpstr>'Age Sex'!Print_Area</vt:lpstr>
      <vt:lpstr>Codes!Print_Area</vt:lpstr>
      <vt:lpstr>Contents!Print_Area</vt:lpstr>
      <vt:lpstr>Intro!Print_Area</vt:lpstr>
      <vt:lpstr>'Māori Non-Māori'!Print_Area</vt:lpstr>
      <vt:lpstr>'Quick facts'!Print_Area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Melissa Perks</cp:lastModifiedBy>
  <cp:lastPrinted>2019-04-08T03:57:53Z</cp:lastPrinted>
  <dcterms:created xsi:type="dcterms:W3CDTF">2018-02-01T21:00:48Z</dcterms:created>
  <dcterms:modified xsi:type="dcterms:W3CDTF">2019-07-02T00:02:21Z</dcterms:modified>
</cp:coreProperties>
</file>